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EstaPasta_de_trabalho" defaultThemeVersion="124226"/>
  <bookViews>
    <workbookView xWindow="-15" yWindow="4515" windowWidth="12120" windowHeight="3840" tabRatio="947" activeTab="2"/>
  </bookViews>
  <sheets>
    <sheet name="Solo seco" sheetId="16" r:id="rId1"/>
    <sheet name="Instruções" sheetId="17" r:id="rId2"/>
    <sheet name="Pré-germ" sheetId="18" r:id="rId3"/>
  </sheets>
  <definedNames>
    <definedName name="_xlnm.Print_Area" localSheetId="2">'Pré-germ'!$A$1:$F$197</definedName>
    <definedName name="_xlnm.Print_Area" localSheetId="0">'Solo seco'!$A$1:$F$195</definedName>
  </definedNames>
  <calcPr calcId="125725"/>
  <customWorkbookViews>
    <customWorkbookView name="Informatica - Modo de exibição pessoal" guid="{CB46D2D2-72E2-11D6-A68A-0002440679E2}" mergeInterval="0" personalView="1" maximized="1" windowWidth="1020" windowHeight="553" tabRatio="768" activeSheetId="10"/>
    <customWorkbookView name="Informação - Modo de exibição pessoal" guid="{A7BC93E0-2CC9-11D5-B844-00104B976B53}" mergeInterval="0" personalView="1" maximized="1" windowWidth="796" windowHeight="438" tabRatio="768" activeSheetId="1"/>
    <customWorkbookView name="Icepa - Modo de exibição pessoal" guid="{B00CA920-0E2B-11D5-8B28-00104B32BE8F}" mergeInterval="0" personalView="1" maximized="1" windowWidth="796" windowHeight="438" tabRatio="768" activeSheetId="1"/>
    <customWorkbookView name="Instituto Cepa - Modo de exibição pessoal" guid="{91BB0C5C-A298-47CC-B3A9-5C20C9760762}" mergeInterval="0" personalView="1" maximized="1" windowWidth="796" windowHeight="411" tabRatio="768" activeSheetId="6" showComments="commIndAndComment"/>
    <customWorkbookView name="chico - Modo de exibição pessoal" guid="{F493FA60-BF04-11D4-8C64-0050DA0D0BA2}" mergeInterval="0" personalView="1" maximized="1" windowWidth="796" windowHeight="438" tabRatio="768" activeSheetId="7"/>
    <customWorkbookView name="teste (resumo)" guid="{D9673F40-74C4-11D2-9EDF-00A024715F38}" maximized="1" xWindow="2" yWindow="2" windowWidth="636" windowHeight="312" tabRatio="739" activeSheetId="9"/>
    <customWorkbookView name="Zeca - Modo de exibição pessoal" guid="{F4B539E0-29B3-11D5-9782-00104B32BE8F}" mergeInterval="0" personalView="1" maximized="1" windowWidth="796" windowHeight="438" tabRatio="768" activeSheetId="1"/>
    <customWorkbookView name="Madruga - Modo de exibição pessoal" guid="{EFF30DA0-A5D8-11D5-BD05-00104B6ECA25}" mergeInterval="0" personalView="1" maximized="1" windowWidth="796" windowHeight="411" tabRatio="768" activeSheetId="10"/>
    <customWorkbookView name="Ilmar Borchardt - Modo de exibição pessoal" guid="{288B70D2-9FF5-4F94-A2D6-5699BE42485B}" mergeInterval="0" personalView="1" maximized="1" windowWidth="1007" windowHeight="573" tabRatio="768" activeSheetId="1"/>
    <customWorkbookView name="teste (R_Alho)" guid="{539A6E20-DF6C-11D6-8E4B-00A0D21DAD49}" maximized="1" xWindow="2" yWindow="2" windowWidth="636" windowHeight="312" tabRatio="947" activeSheetId="10"/>
    <customWorkbookView name="teste (R_Alho) (2)" guid="{34D6243C-1CCF-4D32-8ECF-96671130FBE5}" maximized="1" xWindow="2" yWindow="2" windowWidth="636" windowHeight="312" tabRatio="947" activeSheetId="10"/>
  </customWorkbookViews>
</workbook>
</file>

<file path=xl/calcChain.xml><?xml version="1.0" encoding="utf-8"?>
<calcChain xmlns="http://schemas.openxmlformats.org/spreadsheetml/2006/main">
  <c r="F28" i="18"/>
  <c r="F27"/>
  <c r="F26"/>
  <c r="F22"/>
  <c r="F21"/>
  <c r="F16"/>
  <c r="F15"/>
  <c r="F30" i="16"/>
  <c r="F29"/>
  <c r="F28"/>
  <c r="F27"/>
  <c r="F23"/>
  <c r="F22"/>
  <c r="F16"/>
  <c r="F15"/>
  <c r="F14"/>
  <c r="F104"/>
  <c r="D105"/>
  <c r="D109"/>
  <c r="D108"/>
  <c r="F108"/>
  <c r="D107"/>
  <c r="E33" i="18"/>
  <c r="E36"/>
  <c r="F167"/>
  <c r="D165"/>
  <c r="F153" i="16"/>
  <c r="F66" i="18"/>
  <c r="F66" i="16"/>
  <c r="F65"/>
  <c r="F64"/>
  <c r="F63"/>
  <c r="F62"/>
  <c r="F64" i="18"/>
  <c r="F63"/>
  <c r="F62"/>
  <c r="F61"/>
  <c r="E86" i="16"/>
  <c r="F86"/>
  <c r="E85"/>
  <c r="F85"/>
  <c r="F82"/>
  <c r="E57"/>
  <c r="F57"/>
  <c r="E55"/>
  <c r="D39"/>
  <c r="F39"/>
  <c r="E142"/>
  <c r="F142"/>
  <c r="D124" i="18"/>
  <c r="D123"/>
  <c r="D122"/>
  <c r="E85"/>
  <c r="F85"/>
  <c r="E141"/>
  <c r="F141"/>
  <c r="E56"/>
  <c r="F56"/>
  <c r="D37"/>
  <c r="F37"/>
  <c r="F38"/>
  <c r="E84"/>
  <c r="F84"/>
  <c r="D114" i="16"/>
  <c r="D113"/>
  <c r="D112"/>
  <c r="D111"/>
  <c r="D113" i="18"/>
  <c r="D112"/>
  <c r="D111"/>
  <c r="D110"/>
  <c r="F8"/>
  <c r="F7"/>
  <c r="F9"/>
  <c r="F10"/>
  <c r="F11"/>
  <c r="F12"/>
  <c r="F13"/>
  <c r="F14"/>
  <c r="F17"/>
  <c r="F18"/>
  <c r="F19"/>
  <c r="F20"/>
  <c r="F23"/>
  <c r="F24"/>
  <c r="F25"/>
  <c r="F29"/>
  <c r="F30"/>
  <c r="F39"/>
  <c r="F40"/>
  <c r="F41"/>
  <c r="F43"/>
  <c r="E44"/>
  <c r="F44"/>
  <c r="E45"/>
  <c r="F45"/>
  <c r="E46"/>
  <c r="F46"/>
  <c r="E47"/>
  <c r="F47"/>
  <c r="E48"/>
  <c r="F48"/>
  <c r="E49"/>
  <c r="F49"/>
  <c r="E50"/>
  <c r="F50"/>
  <c r="E51"/>
  <c r="F51"/>
  <c r="E52"/>
  <c r="F53"/>
  <c r="E54"/>
  <c r="F55"/>
  <c r="F57"/>
  <c r="E59"/>
  <c r="F59"/>
  <c r="E60"/>
  <c r="F60"/>
  <c r="F58"/>
  <c r="F65"/>
  <c r="F67"/>
  <c r="E80"/>
  <c r="F80"/>
  <c r="E82"/>
  <c r="E83"/>
  <c r="F86"/>
  <c r="F88"/>
  <c r="E93"/>
  <c r="F93"/>
  <c r="E101"/>
  <c r="F101"/>
  <c r="F114"/>
  <c r="F115"/>
  <c r="F130"/>
  <c r="E133"/>
  <c r="F133"/>
  <c r="E107"/>
  <c r="F107"/>
  <c r="E108"/>
  <c r="F108"/>
  <c r="E137"/>
  <c r="F137"/>
  <c r="E118"/>
  <c r="F118"/>
  <c r="F150"/>
  <c r="F151"/>
  <c r="F152"/>
  <c r="F153"/>
  <c r="D154"/>
  <c r="D107"/>
  <c r="F160"/>
  <c r="F161"/>
  <c r="F162"/>
  <c r="D163"/>
  <c r="D34"/>
  <c r="F34"/>
  <c r="E169"/>
  <c r="F169"/>
  <c r="F176"/>
  <c r="E79"/>
  <c r="F79"/>
  <c r="F8" i="16"/>
  <c r="F9"/>
  <c r="F10"/>
  <c r="F11"/>
  <c r="F12"/>
  <c r="F13"/>
  <c r="F17"/>
  <c r="F18"/>
  <c r="F19"/>
  <c r="F20"/>
  <c r="F21"/>
  <c r="F24"/>
  <c r="F25"/>
  <c r="F26"/>
  <c r="F31"/>
  <c r="F38"/>
  <c r="F41"/>
  <c r="F42"/>
  <c r="F44"/>
  <c r="E45"/>
  <c r="F45"/>
  <c r="E46"/>
  <c r="F46"/>
  <c r="E47"/>
  <c r="F47"/>
  <c r="E48"/>
  <c r="F48"/>
  <c r="E49"/>
  <c r="F49"/>
  <c r="E50"/>
  <c r="F50"/>
  <c r="E51"/>
  <c r="F51"/>
  <c r="E52"/>
  <c r="F52"/>
  <c r="E53"/>
  <c r="F53"/>
  <c r="F54"/>
  <c r="F56"/>
  <c r="F58"/>
  <c r="E60"/>
  <c r="F60"/>
  <c r="E61"/>
  <c r="F61"/>
  <c r="F59"/>
  <c r="F67"/>
  <c r="F68"/>
  <c r="E81"/>
  <c r="F81"/>
  <c r="E83"/>
  <c r="E84"/>
  <c r="F87"/>
  <c r="F89"/>
  <c r="E94"/>
  <c r="F94"/>
  <c r="E102"/>
  <c r="F102"/>
  <c r="F115"/>
  <c r="F116"/>
  <c r="E134"/>
  <c r="F134"/>
  <c r="E138"/>
  <c r="F138"/>
  <c r="F152"/>
  <c r="F154"/>
  <c r="D155"/>
  <c r="D83"/>
  <c r="D164"/>
  <c r="D84"/>
  <c r="F84"/>
  <c r="E170"/>
  <c r="F170"/>
  <c r="F177"/>
  <c r="E80"/>
  <c r="F80"/>
  <c r="F79"/>
  <c r="D35"/>
  <c r="F35"/>
  <c r="F40"/>
  <c r="D53"/>
  <c r="D118" i="18"/>
  <c r="D120"/>
  <c r="E130" i="16"/>
  <c r="F130"/>
  <c r="E129"/>
  <c r="F129"/>
  <c r="E126"/>
  <c r="F126"/>
  <c r="E167"/>
  <c r="F167"/>
  <c r="E128"/>
  <c r="F128"/>
  <c r="F97"/>
  <c r="F91"/>
  <c r="F37"/>
  <c r="E161"/>
  <c r="F161"/>
  <c r="F83"/>
  <c r="E121"/>
  <c r="F121"/>
  <c r="E117"/>
  <c r="F117"/>
  <c r="E119"/>
  <c r="F119"/>
  <c r="E120"/>
  <c r="F120"/>
  <c r="E108"/>
  <c r="E105"/>
  <c r="E109"/>
  <c r="F109"/>
  <c r="E107"/>
  <c r="F107"/>
  <c r="F36" i="18"/>
  <c r="D54"/>
  <c r="F54"/>
  <c r="D32" i="16"/>
  <c r="F32"/>
  <c r="D55"/>
  <c r="F55"/>
  <c r="F43"/>
  <c r="D83" i="18"/>
  <c r="F83"/>
  <c r="D119"/>
  <c r="E158" i="16"/>
  <c r="F158"/>
  <c r="E151"/>
  <c r="F151"/>
  <c r="F34"/>
  <c r="E159"/>
  <c r="F159"/>
  <c r="E162"/>
  <c r="F162"/>
  <c r="E163"/>
  <c r="F163"/>
  <c r="E113"/>
  <c r="F113"/>
  <c r="F105"/>
  <c r="E148"/>
  <c r="F148"/>
  <c r="E125"/>
  <c r="F125"/>
  <c r="E123"/>
  <c r="F123"/>
  <c r="E124"/>
  <c r="F124"/>
  <c r="E111"/>
  <c r="F111"/>
  <c r="E112"/>
  <c r="F112"/>
  <c r="E114"/>
  <c r="F114"/>
  <c r="E160"/>
  <c r="F160"/>
  <c r="E147"/>
  <c r="F147"/>
  <c r="F164"/>
  <c r="E149"/>
  <c r="F149"/>
  <c r="F155"/>
  <c r="E155"/>
  <c r="E150"/>
  <c r="F150"/>
  <c r="D108" i="18"/>
  <c r="D31"/>
  <c r="F31"/>
  <c r="F33"/>
  <c r="E120"/>
  <c r="F120"/>
  <c r="D104"/>
  <c r="E104"/>
  <c r="D82"/>
  <c r="F82"/>
  <c r="E146"/>
  <c r="F146"/>
  <c r="E106"/>
  <c r="F106"/>
  <c r="D106"/>
  <c r="D52"/>
  <c r="F52"/>
  <c r="F7" i="16"/>
  <c r="E69"/>
  <c r="F69"/>
  <c r="F75"/>
  <c r="F104" i="18"/>
  <c r="E72" i="16"/>
  <c r="F72"/>
  <c r="E70"/>
  <c r="F70"/>
  <c r="F77"/>
  <c r="F74"/>
  <c r="F6"/>
  <c r="F181"/>
  <c r="E100"/>
  <c r="F100"/>
  <c r="F88"/>
  <c r="F178"/>
  <c r="F186"/>
  <c r="E186"/>
  <c r="F182"/>
  <c r="F183"/>
  <c r="F176"/>
  <c r="E185"/>
  <c r="F179"/>
  <c r="E195"/>
  <c r="F185"/>
  <c r="D185"/>
  <c r="D186"/>
  <c r="F195"/>
  <c r="D193"/>
  <c r="F193"/>
  <c r="D190"/>
  <c r="F190"/>
  <c r="D192"/>
  <c r="F192"/>
  <c r="D191"/>
  <c r="F191"/>
  <c r="D189"/>
  <c r="F189"/>
  <c r="D194"/>
  <c r="F194"/>
  <c r="E128" i="18"/>
  <c r="F128"/>
  <c r="E129"/>
  <c r="F129"/>
  <c r="E125"/>
  <c r="F125"/>
  <c r="E166"/>
  <c r="F166"/>
  <c r="F165"/>
  <c r="E127"/>
  <c r="F127"/>
  <c r="E119"/>
  <c r="F119"/>
  <c r="E122"/>
  <c r="F122"/>
  <c r="E116"/>
  <c r="F116"/>
  <c r="E157"/>
  <c r="F157"/>
  <c r="E112"/>
  <c r="F112"/>
  <c r="E113"/>
  <c r="F113"/>
  <c r="E110"/>
  <c r="F110"/>
  <c r="E148"/>
  <c r="F148"/>
  <c r="F96"/>
  <c r="F90"/>
  <c r="F42"/>
  <c r="E124"/>
  <c r="F124"/>
  <c r="E123"/>
  <c r="F123"/>
  <c r="E145"/>
  <c r="E147"/>
  <c r="F147"/>
  <c r="F154"/>
  <c r="E154"/>
  <c r="E149"/>
  <c r="F149"/>
  <c r="E111"/>
  <c r="F111"/>
  <c r="E165"/>
  <c r="E159"/>
  <c r="F159"/>
  <c r="E156"/>
  <c r="E158"/>
  <c r="F158"/>
  <c r="F163"/>
  <c r="F103"/>
  <c r="F78"/>
  <c r="E68"/>
  <c r="F68"/>
  <c r="E69"/>
  <c r="F69"/>
  <c r="F74"/>
  <c r="F81"/>
  <c r="E71"/>
  <c r="F71"/>
  <c r="F76"/>
  <c r="F73"/>
  <c r="F6"/>
  <c r="E99"/>
  <c r="F99"/>
  <c r="F181"/>
  <c r="F177"/>
  <c r="F87"/>
  <c r="F187"/>
  <c r="E187"/>
  <c r="F175"/>
  <c r="F182"/>
  <c r="F183"/>
  <c r="E185"/>
  <c r="F197"/>
  <c r="E197"/>
  <c r="F185"/>
  <c r="D185"/>
  <c r="F178"/>
  <c r="D187"/>
  <c r="D195"/>
  <c r="F195"/>
  <c r="D191"/>
  <c r="D193"/>
  <c r="F193"/>
  <c r="D192"/>
  <c r="F192"/>
  <c r="D194"/>
  <c r="F194"/>
  <c r="D196"/>
  <c r="F196"/>
  <c r="F191"/>
</calcChain>
</file>

<file path=xl/sharedStrings.xml><?xml version="1.0" encoding="utf-8"?>
<sst xmlns="http://schemas.openxmlformats.org/spreadsheetml/2006/main" count="882" uniqueCount="395">
  <si>
    <t>ESPECIFICAÇÃO</t>
  </si>
  <si>
    <t>sc 50 kg</t>
  </si>
  <si>
    <t>kg</t>
  </si>
  <si>
    <t>Uréia</t>
  </si>
  <si>
    <t>Furadan 5 G</t>
  </si>
  <si>
    <t>l</t>
  </si>
  <si>
    <t>1 - Insumos</t>
  </si>
  <si>
    <t/>
  </si>
  <si>
    <t xml:space="preserve">    </t>
  </si>
  <si>
    <t>4 - Despesas Gerais</t>
  </si>
  <si>
    <t>3 - Impostos e taxas</t>
  </si>
  <si>
    <t>Administrador</t>
  </si>
  <si>
    <t xml:space="preserve">Galpão rústico </t>
  </si>
  <si>
    <t>R$ / ha</t>
  </si>
  <si>
    <t>Certificada</t>
  </si>
  <si>
    <t>Duas aplicações</t>
  </si>
  <si>
    <t>5 - Assistência técnica</t>
  </si>
  <si>
    <t xml:space="preserve">2 - Mão-de-obra </t>
  </si>
  <si>
    <t>COMPONENTES</t>
  </si>
  <si>
    <t>VALOR UNITÁRIO [R$]</t>
  </si>
  <si>
    <t>VALOR TOTAL [R$]</t>
  </si>
  <si>
    <t>CUSTOS VARIÁVEIS (CV)</t>
  </si>
  <si>
    <t>Sementes</t>
  </si>
  <si>
    <t>Adubo base</t>
  </si>
  <si>
    <t>Adubo de cobertura</t>
  </si>
  <si>
    <t>Herbicida</t>
  </si>
  <si>
    <t>Inseticida</t>
  </si>
  <si>
    <t>Adubação de base</t>
  </si>
  <si>
    <t>Pré-germinação</t>
  </si>
  <si>
    <t>Semeadura</t>
  </si>
  <si>
    <t>Manejo de água</t>
  </si>
  <si>
    <t>Aplicação de herbicida</t>
  </si>
  <si>
    <t>Aplicação de inseticida</t>
  </si>
  <si>
    <t>Adubarão de cobertura</t>
  </si>
  <si>
    <t>Irrigação</t>
  </si>
  <si>
    <t>6 - Seguro da produção</t>
  </si>
  <si>
    <t xml:space="preserve"> Juro s/ capital  giro </t>
  </si>
  <si>
    <t xml:space="preserve"> Juro s/ financiamento </t>
  </si>
  <si>
    <t>Previdência social</t>
  </si>
  <si>
    <t>CUSTOS FIXOS (CF)</t>
  </si>
  <si>
    <t xml:space="preserve">00-20-20 </t>
  </si>
  <si>
    <t>galpão de 50m</t>
  </si>
  <si>
    <t>Roundup 480</t>
  </si>
  <si>
    <t>Basagran 600</t>
  </si>
  <si>
    <t>Fungicida</t>
  </si>
  <si>
    <t>BIM 750 br</t>
  </si>
  <si>
    <t>Preço</t>
  </si>
  <si>
    <t>7 - Outros custos fixos</t>
  </si>
  <si>
    <t>INSTRUÇÕES DE USO DA PLANILHA DE CUSTO</t>
  </si>
  <si>
    <r>
      <t xml:space="preserve">          Como roteiro para o cálculo do custo partiu-se da </t>
    </r>
    <r>
      <rPr>
        <b/>
        <sz val="12"/>
        <rFont val="Arial"/>
        <family val="2"/>
      </rPr>
      <t>planilha de custo utilizada pela Epagri/Cepa</t>
    </r>
    <r>
      <rPr>
        <sz val="12"/>
        <rFont val="Arial"/>
        <family val="2"/>
      </rPr>
      <t xml:space="preserve">, com algumas alterações. O sistema de produção é o </t>
    </r>
    <r>
      <rPr>
        <b/>
        <sz val="12"/>
        <rFont val="Arial"/>
        <family val="2"/>
      </rPr>
      <t>pré-germinado</t>
    </r>
    <r>
      <rPr>
        <sz val="12"/>
        <rFont val="Arial"/>
        <family val="2"/>
      </rPr>
      <t xml:space="preserve">, mas ela (a planilha) pode ser utilizada para outros sistemas, bastando, conforme o caso: </t>
    </r>
    <r>
      <rPr>
        <b/>
        <sz val="12"/>
        <color indexed="10"/>
        <rFont val="Arial"/>
        <family val="2"/>
      </rPr>
      <t>a)</t>
    </r>
    <r>
      <rPr>
        <sz val="12"/>
        <rFont val="Arial"/>
        <family val="2"/>
      </rPr>
      <t xml:space="preserve"> Eliminar as operações (manuais ou mecânicas) e insumos e outros itens que não se apliquem ao sistema analisado. Para tanto, basta preencher com zero a coluna do “</t>
    </r>
    <r>
      <rPr>
        <b/>
        <i/>
        <sz val="12"/>
        <rFont val="Arial"/>
        <family val="2"/>
      </rPr>
      <t>valor unitário</t>
    </r>
    <r>
      <rPr>
        <sz val="12"/>
        <rFont val="Arial"/>
        <family val="2"/>
      </rPr>
      <t xml:space="preserve">” (poderia  ser a da “quantidade”).  </t>
    </r>
    <r>
      <rPr>
        <b/>
        <sz val="12"/>
        <color indexed="10"/>
        <rFont val="Arial"/>
        <family val="2"/>
      </rPr>
      <t>b)</t>
    </r>
    <r>
      <rPr>
        <sz val="12"/>
        <color indexed="10"/>
        <rFont val="Arial"/>
        <family val="2"/>
      </rPr>
      <t xml:space="preserve"> </t>
    </r>
    <r>
      <rPr>
        <sz val="12"/>
        <rFont val="Arial"/>
        <family val="2"/>
      </rPr>
      <t xml:space="preserve">Acrescentar (nas linhas em branco) ou substituir as operações e insumos específicos que não estão contemplados na planilha. </t>
    </r>
    <r>
      <rPr>
        <b/>
        <sz val="12"/>
        <color indexed="10"/>
        <rFont val="Arial"/>
        <family val="2"/>
      </rPr>
      <t>c)</t>
    </r>
    <r>
      <rPr>
        <sz val="12"/>
        <rFont val="Arial"/>
        <family val="2"/>
      </rPr>
      <t xml:space="preserve"> Alterar os coeficientes técnicos, se necessário. </t>
    </r>
  </si>
  <si>
    <r>
      <t xml:space="preserve">          Para que o custo possa ser calculado o usuário deve preencher todas as informações pertinentes a cada caso, inclusive a parte final da planilha, com o título “</t>
    </r>
    <r>
      <rPr>
        <b/>
        <i/>
        <sz val="12"/>
        <rFont val="Arial"/>
        <family val="2"/>
      </rPr>
      <t>dados complementares</t>
    </r>
    <r>
      <rPr>
        <sz val="12"/>
        <rFont val="Arial"/>
        <family val="2"/>
      </rPr>
      <t xml:space="preserve">”. E no preenchimento dos </t>
    </r>
    <r>
      <rPr>
        <b/>
        <sz val="12"/>
        <rFont val="Arial"/>
        <family val="2"/>
      </rPr>
      <t>custos variáveis</t>
    </r>
    <r>
      <rPr>
        <sz val="12"/>
        <rFont val="Arial"/>
        <family val="2"/>
      </rPr>
      <t xml:space="preserve"> e </t>
    </r>
    <r>
      <rPr>
        <b/>
        <sz val="12"/>
        <rFont val="Arial"/>
        <family val="2"/>
      </rPr>
      <t>fixos</t>
    </r>
    <r>
      <rPr>
        <sz val="12"/>
        <rFont val="Arial"/>
        <family val="2"/>
      </rPr>
      <t xml:space="preserve"> deve-se ter cuidado nos campos “unidade de referência”, “quantidade” e “</t>
    </r>
    <r>
      <rPr>
        <b/>
        <i/>
        <sz val="12"/>
        <rFont val="Arial"/>
        <family val="2"/>
      </rPr>
      <t>valor unitário</t>
    </r>
    <r>
      <rPr>
        <sz val="12"/>
        <rFont val="Arial"/>
        <family val="2"/>
      </rPr>
      <t>” para não haver erro no cálculo do “</t>
    </r>
    <r>
      <rPr>
        <b/>
        <i/>
        <sz val="12"/>
        <rFont val="Arial"/>
        <family val="2"/>
      </rPr>
      <t>valor total</t>
    </r>
    <r>
      <rPr>
        <sz val="12"/>
        <rFont val="Arial"/>
        <family val="2"/>
      </rPr>
      <t>”. Por exemplo, se a unidade de referência for preenchida como “</t>
    </r>
    <r>
      <rPr>
        <b/>
        <i/>
        <sz val="12"/>
        <rFont val="Arial"/>
        <family val="2"/>
      </rPr>
      <t xml:space="preserve">10 </t>
    </r>
    <r>
      <rPr>
        <sz val="12"/>
        <rFont val="Arial"/>
        <family val="2"/>
      </rPr>
      <t>” (</t>
    </r>
    <r>
      <rPr>
        <b/>
        <sz val="12"/>
        <rFont val="Arial"/>
        <family val="2"/>
      </rPr>
      <t>um pacote de 10 kg</t>
    </r>
    <r>
      <rPr>
        <sz val="12"/>
        <rFont val="Arial"/>
        <family val="2"/>
      </rPr>
      <t xml:space="preserve">), mesmo que só se utilize </t>
    </r>
    <r>
      <rPr>
        <b/>
        <sz val="12"/>
        <rFont val="Arial"/>
        <family val="2"/>
      </rPr>
      <t>1,0</t>
    </r>
    <r>
      <rPr>
        <sz val="12"/>
        <rFont val="Arial"/>
        <family val="2"/>
      </rPr>
      <t xml:space="preserve"> kg, e no valor unitário for colocado o preço do pacote (digamos </t>
    </r>
    <r>
      <rPr>
        <b/>
        <sz val="12"/>
        <rFont val="Arial"/>
        <family val="2"/>
      </rPr>
      <t>R$</t>
    </r>
    <r>
      <rPr>
        <sz val="12"/>
        <rFont val="Arial"/>
        <family val="2"/>
      </rPr>
      <t xml:space="preserve"> </t>
    </r>
    <r>
      <rPr>
        <b/>
        <sz val="12"/>
        <rFont val="Arial"/>
        <family val="2"/>
      </rPr>
      <t>50,00</t>
    </r>
    <r>
      <rPr>
        <sz val="12"/>
        <rFont val="Arial"/>
        <family val="2"/>
      </rPr>
      <t xml:space="preserve">), o valor total será calculado como </t>
    </r>
    <r>
      <rPr>
        <b/>
        <sz val="12"/>
        <rFont val="Arial"/>
        <family val="2"/>
      </rPr>
      <t>R$ 500,00</t>
    </r>
    <r>
      <rPr>
        <sz val="12"/>
        <rFont val="Arial"/>
        <family val="2"/>
      </rPr>
      <t xml:space="preserve"> em vez </t>
    </r>
    <r>
      <rPr>
        <b/>
        <sz val="12"/>
        <rFont val="Arial"/>
        <family val="2"/>
      </rPr>
      <t>R$ 50,00</t>
    </r>
    <r>
      <rPr>
        <sz val="12"/>
        <rFont val="Arial"/>
        <family val="2"/>
      </rPr>
      <t>.</t>
    </r>
  </si>
  <si>
    <r>
      <t xml:space="preserve">          Algumas células da planilha estão em </t>
    </r>
    <r>
      <rPr>
        <b/>
        <u/>
        <sz val="12"/>
        <rFont val="Arial"/>
        <family val="2"/>
      </rPr>
      <t>verde claro</t>
    </r>
    <r>
      <rPr>
        <u/>
        <sz val="12"/>
        <rFont val="Arial"/>
        <family val="2"/>
      </rPr>
      <t xml:space="preserve"> </t>
    </r>
    <r>
      <rPr>
        <sz val="12"/>
        <rFont val="Arial"/>
        <family val="2"/>
      </rPr>
      <t xml:space="preserve">e estão protegidas, por conterem fórmulas, e por isso, não podem ser alteradas. As células onde podem ser feitas alterações estão com a </t>
    </r>
    <r>
      <rPr>
        <b/>
        <u/>
        <sz val="12"/>
        <rFont val="Arial"/>
        <family val="2"/>
      </rPr>
      <t>cor branca</t>
    </r>
    <r>
      <rPr>
        <sz val="12"/>
        <rFont val="Arial"/>
        <family val="2"/>
      </rPr>
      <t>.</t>
    </r>
  </si>
  <si>
    <r>
      <t xml:space="preserve">         Todos os custos devem ser computados, inclusive quando se tratar de recursos próprios, como a </t>
    </r>
    <r>
      <rPr>
        <b/>
        <sz val="12"/>
        <rFont val="Arial"/>
        <family val="2"/>
      </rPr>
      <t>terra</t>
    </r>
    <r>
      <rPr>
        <sz val="12"/>
        <rFont val="Arial"/>
        <family val="2"/>
      </rPr>
      <t xml:space="preserve">, a </t>
    </r>
    <r>
      <rPr>
        <b/>
        <sz val="12"/>
        <rFont val="Arial"/>
        <family val="2"/>
      </rPr>
      <t>mão-de-obra</t>
    </r>
    <r>
      <rPr>
        <sz val="12"/>
        <rFont val="Arial"/>
        <family val="2"/>
      </rPr>
      <t xml:space="preserve"> e os </t>
    </r>
    <r>
      <rPr>
        <b/>
        <sz val="12"/>
        <rFont val="Arial"/>
        <family val="2"/>
      </rPr>
      <t>recursos financeiros</t>
    </r>
    <r>
      <rPr>
        <sz val="12"/>
        <rFont val="Arial"/>
        <family val="2"/>
      </rPr>
      <t xml:space="preserve"> aplicados, mesmo que eles não impliquem em desembolso para o produtor. É como se fosse um pagamento para si próprio. Neste caso, devem ser computados pelo seu custo de oportunidade (na linguagem técnica), que consiste em avaliar quanto o produtor poderia efetivamente receber se ele alugar o recurso em vez de produzir. Por exemplo, quanto ele receberia pela terra se o produtor a arrendasse, pela mão-de-obra se trabalhasse em outra atividade e pelo dinheiro se fosse colocado na poupança. </t>
    </r>
  </si>
  <si>
    <r>
      <t xml:space="preserve">         Se estes custos não forem incluídos, não há forma da atividade (ou empresa) ser economicamente sustentável e também crescer ao longo do tempo. Quando isto acontecer o produtor só irá sentir as conseqüências quando não há mais retorno. Irá perceber, muito tardiamente, que: </t>
    </r>
    <r>
      <rPr>
        <b/>
        <sz val="12"/>
        <color indexed="10"/>
        <rFont val="Arial"/>
        <family val="2"/>
      </rPr>
      <t>a)</t>
    </r>
    <r>
      <rPr>
        <sz val="12"/>
        <rFont val="Arial"/>
        <family val="2"/>
      </rPr>
      <t xml:space="preserve"> Ganhou menos que um operário da indústria, que não precisou entrar com nenhum capital para receber o seu salário; </t>
    </r>
    <r>
      <rPr>
        <b/>
        <sz val="12"/>
        <color indexed="10"/>
        <rFont val="Arial"/>
        <family val="2"/>
      </rPr>
      <t xml:space="preserve">b) </t>
    </r>
    <r>
      <rPr>
        <sz val="12"/>
        <rFont val="Arial"/>
        <family val="2"/>
      </rPr>
      <t xml:space="preserve">Não evoluiu economicamente, pois não teve nenhum acréscimo patrimonial; </t>
    </r>
    <r>
      <rPr>
        <b/>
        <sz val="12"/>
        <color indexed="10"/>
        <rFont val="Arial"/>
        <family val="2"/>
      </rPr>
      <t>c)</t>
    </r>
    <r>
      <rPr>
        <sz val="12"/>
        <rFont val="Arial"/>
        <family val="2"/>
      </rPr>
      <t xml:space="preserve"> Não terá recursos para repor, ao final de sua vida útil, a infraestrutura existente (máquinas, equipamentos e construções). A finalidade da inclusão destes custos é fazer com que o produtor possa se antecipar aos fatos e evitar estas conseqüências negativas.   </t>
    </r>
  </si>
  <si>
    <t>CUSTOS VARIÁVEIS E CUSTOS FIXOS: conceitos e aplicações</t>
  </si>
  <si>
    <r>
      <t xml:space="preserve">         O custo está subdivido em “</t>
    </r>
    <r>
      <rPr>
        <b/>
        <i/>
        <sz val="12"/>
        <rFont val="Arial"/>
        <family val="2"/>
      </rPr>
      <t>custos variáveis</t>
    </r>
    <r>
      <rPr>
        <sz val="12"/>
        <rFont val="Arial"/>
        <family val="2"/>
      </rPr>
      <t>” e “</t>
    </r>
    <r>
      <rPr>
        <b/>
        <i/>
        <sz val="12"/>
        <rFont val="Arial"/>
        <family val="2"/>
      </rPr>
      <t>custos fixos</t>
    </r>
    <r>
      <rPr>
        <sz val="12"/>
        <rFont val="Arial"/>
        <family val="2"/>
      </rPr>
      <t>”. O custo variável é o que varia de acordo com o nível de produção, enquanto o custo fixo se mantém constante em todos os níveis de produção. Esta subdivisão é feita para facilitar a decisão do produtor se deve continuar ou não na atividade, o que depende do tipo de decisão a ser tomada, que pode ser classificada como “</t>
    </r>
    <r>
      <rPr>
        <b/>
        <i/>
        <sz val="12"/>
        <rFont val="Arial"/>
        <family val="2"/>
      </rPr>
      <t>de longo prazo</t>
    </r>
    <r>
      <rPr>
        <sz val="12"/>
        <rFont val="Arial"/>
        <family val="2"/>
      </rPr>
      <t>” e “</t>
    </r>
    <r>
      <rPr>
        <b/>
        <i/>
        <sz val="12"/>
        <rFont val="Arial"/>
        <family val="2"/>
      </rPr>
      <t>de curto prazo</t>
    </r>
    <r>
      <rPr>
        <sz val="12"/>
        <rFont val="Arial"/>
        <family val="2"/>
      </rPr>
      <t>”. A decisão “</t>
    </r>
    <r>
      <rPr>
        <b/>
        <i/>
        <sz val="12"/>
        <rFont val="Arial"/>
        <family val="2"/>
      </rPr>
      <t>de longo prazo</t>
    </r>
    <r>
      <rPr>
        <sz val="12"/>
        <rFont val="Arial"/>
        <family val="2"/>
      </rPr>
      <t>” é aquela em que o produtor tem a possibilidade de trocar de atividade (dentro da agricultura ou não), o que envolve tempo e recursos. Este tipo de decisão se refere a um horizonte mais amplo, que ultrapassa o da safra que está sendo planejada ou que está andamento. A decisão “</t>
    </r>
    <r>
      <rPr>
        <b/>
        <i/>
        <sz val="12"/>
        <rFont val="Arial"/>
        <family val="2"/>
      </rPr>
      <t>de curto prazo</t>
    </r>
    <r>
      <rPr>
        <sz val="12"/>
        <rFont val="Arial"/>
        <family val="2"/>
      </rPr>
      <t>” é aquela onde não há tempo ou recursos suficientes para que o produtor mude de atividade. Normalmente, este tipo de decisão se limita à safra que está sendo planejada ou que está andamento.</t>
    </r>
  </si>
  <si>
    <r>
      <t xml:space="preserve">         Para uma decisão “</t>
    </r>
    <r>
      <rPr>
        <b/>
        <i/>
        <sz val="12"/>
        <rFont val="Arial"/>
        <family val="2"/>
      </rPr>
      <t>de longo prazo</t>
    </r>
    <r>
      <rPr>
        <sz val="12"/>
        <rFont val="Arial"/>
        <family val="2"/>
      </rPr>
      <t>” a subdivisão é desnecessária, pois a receita bruta de uma atividade qualquer deve cobrir todos os custos (variáveis e fixos). Entretanto, como os preços oscilam ao longo dos anos, provavelmente não haveria mais produtores se este princípio fosse aplicado em todas as safras. Já numa decisão “</t>
    </r>
    <r>
      <rPr>
        <b/>
        <i/>
        <sz val="12"/>
        <rFont val="Arial"/>
        <family val="2"/>
      </rPr>
      <t>de curto prazo</t>
    </r>
    <r>
      <rPr>
        <sz val="12"/>
        <rFont val="Arial"/>
        <family val="2"/>
      </rPr>
      <t xml:space="preserve">” o produtor só deixará a atividade se a receita bruta não cobrir nem os custos variáveis. Neste caso, é preferível que ele deixe a atividade, simplesmente, mesmo que não vá ingressar em outra. Ele teria apenas o prejuízo do custo fixo. Mas continuar produzindo implicaria em agregar mais prejuízo (o da própria safra). Os custos fixos poderão ser cobertos em safras futuras, quando o preço melhorar.  </t>
    </r>
  </si>
  <si>
    <t xml:space="preserve">         Podem surgir dúvidas quanto ao enquadramento de certos custos em fixos ou variáveis. Para as análises de longo prazo isto não faz nenhuma diferença porque a receita bruta deve cobrir todos os custos, independentemente se o custo tiver sido preenchido como fixo ou como variável. Já para as análises de curto prazo a correta classificação é muito importante, já que se o custo for preenchido como variável ele terá que ser coberto na própria safra e se for preenchido como fixo este custo pode ser coberto em safras futuras, quando o preço melhorar.</t>
  </si>
  <si>
    <t>INTERPRETAÇÃO ECONÔMICA DA PLANILHA E SEU USO NA PRÁTICA</t>
  </si>
  <si>
    <t xml:space="preserve">Para uma visão de longo prazo </t>
  </si>
  <si>
    <r>
      <t xml:space="preserve">         </t>
    </r>
    <r>
      <rPr>
        <b/>
        <sz val="12"/>
        <color indexed="10"/>
        <rFont val="Arial"/>
        <family val="2"/>
      </rPr>
      <t>a)</t>
    </r>
    <r>
      <rPr>
        <sz val="12"/>
        <rFont val="Arial"/>
        <family val="2"/>
      </rPr>
      <t xml:space="preserve"> Se o lucro for positivo diz-se que a atividade obteve um lucro acima do normal, uma vez que ela conseguiu uma remuneração para os recursos próprios (podendo ser a terra, o capital e a mão-de-obra) acima da que foi estimada no custo. A atividade não só é economicamente sustentável no longo prazo como também tem condições de crescer.</t>
    </r>
  </si>
  <si>
    <r>
      <t xml:space="preserve">         </t>
    </r>
    <r>
      <rPr>
        <b/>
        <sz val="12"/>
        <color indexed="10"/>
        <rFont val="Arial"/>
        <family val="2"/>
      </rPr>
      <t>c)</t>
    </r>
    <r>
      <rPr>
        <sz val="12"/>
        <rFont val="Arial"/>
        <family val="2"/>
      </rPr>
      <t xml:space="preserve"> Se o lucro for zero significa que a atividade obteve uma remuneração normal para os recursos próprios que ele empregou. O lucro zero não significa que o produtor trabalhou de graça, como poderia parecer. Um valor nulo (ou positivo) para o lucro indica a possibilidade de crescimento da atividade (ou da empresa), uma vez que este valor inclui a remuneração dos recursos próprios utilizados e é esta remuneração que permite financiar o crescimento.</t>
    </r>
  </si>
  <si>
    <r>
      <t xml:space="preserve">         Embora a atividade não se sustente no longo prazo, para um preço de R$ 28,00 e uma produtividade de 140 sacos, isto não implica, necessariamente, no abandono imediato da atividade. Tudo depende da margem bruta, que precisa ser positiva (ver item: </t>
    </r>
    <r>
      <rPr>
        <b/>
        <sz val="12"/>
        <rFont val="Arial"/>
        <family val="2"/>
      </rPr>
      <t>Para uma visão de curto prazo</t>
    </r>
    <r>
      <rPr>
        <sz val="12"/>
        <rFont val="Arial"/>
        <family val="2"/>
      </rPr>
      <t>).</t>
    </r>
  </si>
  <si>
    <t>Para uma visão de curto prazo</t>
  </si>
  <si>
    <t>Valor novo (VN)</t>
  </si>
  <si>
    <t>valor novo (VN)</t>
  </si>
  <si>
    <r>
      <t xml:space="preserve">         Para o longo prazo, o resultado econômico final da atividade aparece no lucro (</t>
    </r>
    <r>
      <rPr>
        <b/>
        <u/>
        <sz val="12"/>
        <rFont val="Arial"/>
        <family val="2"/>
      </rPr>
      <t>linha 92</t>
    </r>
    <r>
      <rPr>
        <sz val="12"/>
        <rFont val="Arial"/>
        <family val="2"/>
      </rPr>
      <t xml:space="preserve">), que pode ser positivo ou negativo, sendo este também conhecido como prejuízo. O lucro é obtido subtraindo-se da receita bruta os custos variáveis e os custos fixos. A interpretação econômica do lucro é a seguinte: </t>
    </r>
  </si>
  <si>
    <r>
      <t xml:space="preserve">         </t>
    </r>
    <r>
      <rPr>
        <b/>
        <sz val="12"/>
        <color indexed="10"/>
        <rFont val="Arial"/>
        <family val="2"/>
      </rPr>
      <t>b)</t>
    </r>
    <r>
      <rPr>
        <sz val="12"/>
        <rFont val="Arial"/>
        <family val="2"/>
      </rPr>
      <t xml:space="preserve"> Se o lucro for negativo significa que a atividade não se sustenta economicamente no longo prazo, o que não implica, necessariamente, no abandono imediato da atividade no curto prazo, ou seja, na safra que está sendo planejada ou que está em andamento. Tudo vai depender da margem bruta (</t>
    </r>
    <r>
      <rPr>
        <b/>
        <u/>
        <sz val="12"/>
        <rFont val="Arial"/>
        <family val="2"/>
      </rPr>
      <t>linha 91</t>
    </r>
    <r>
      <rPr>
        <sz val="12"/>
        <rFont val="Arial"/>
        <family val="2"/>
      </rPr>
      <t xml:space="preserve">), que deverá ser positiva para que a atividade continue. </t>
    </r>
  </si>
  <si>
    <r>
      <t xml:space="preserve">         Além do lucro, a planilha informa também, na </t>
    </r>
    <r>
      <rPr>
        <b/>
        <u/>
        <sz val="12"/>
        <rFont val="Arial"/>
        <family val="2"/>
      </rPr>
      <t>linha 96</t>
    </r>
    <r>
      <rPr>
        <sz val="12"/>
        <rFont val="Arial"/>
        <family val="2"/>
      </rPr>
      <t xml:space="preserve">, o valor do custo total unitário (custo total por saco), que indica, ao mesmo tempo, qual o preço necessário para que a atividade seja economicamente sustentável no longo prazo, para a produtividade considerada. E na </t>
    </r>
    <r>
      <rPr>
        <b/>
        <u/>
        <sz val="12"/>
        <rFont val="Arial"/>
        <family val="2"/>
      </rPr>
      <t>linha 98</t>
    </r>
    <r>
      <rPr>
        <sz val="12"/>
        <rFont val="Arial"/>
        <family val="2"/>
      </rPr>
      <t xml:space="preserve"> ela informa qual a produtividade necessária para que a atividade se sustente economicamente no longo prazo, ao preço considerado.</t>
    </r>
  </si>
  <si>
    <t>Produtividade</t>
  </si>
  <si>
    <r>
      <t xml:space="preserve">         Evidentemente que o usuário da planilha pode fazer diversas simulações alterando o preço do arroz (</t>
    </r>
    <r>
      <rPr>
        <b/>
        <sz val="12"/>
        <rFont val="Arial"/>
        <family val="2"/>
      </rPr>
      <t>linha 102</t>
    </r>
    <r>
      <rPr>
        <sz val="12"/>
        <rFont val="Arial"/>
        <family val="2"/>
      </rPr>
      <t>) a fim de verificar qual a nova produtividade necessária de modo que o sistema seja economicamente sustentável no longo prazo (lucro zero ou positivo). E, da mesma forma, alterando a produtividade (</t>
    </r>
    <r>
      <rPr>
        <b/>
        <sz val="12"/>
        <rFont val="Arial"/>
        <family val="2"/>
      </rPr>
      <t>linha 101</t>
    </r>
    <r>
      <rPr>
        <sz val="12"/>
        <rFont val="Arial"/>
        <family val="2"/>
      </rPr>
      <t>) a fim de encontrar o preço que torne a atividade economicamente sustentável no longo prazo. Neste caso, pode-se alterar também o custo com insumos necessários para a nova produtividade. Há muitas outras possibilidades de simulação que a planilha permite e que depende da criatividade do usuário e de seu conhecimento técnico para fazer uso prático desta ferramenta.</t>
    </r>
    <r>
      <rPr>
        <sz val="8"/>
        <color indexed="10"/>
        <rFont val="Arial"/>
        <family val="2"/>
      </rPr>
      <t xml:space="preserve"> </t>
    </r>
  </si>
  <si>
    <r>
      <t xml:space="preserve">         Para o curto prazo o dado que define pela continuidade ou não na atividade está na margem bruta (</t>
    </r>
    <r>
      <rPr>
        <b/>
        <sz val="12"/>
        <rFont val="Arial"/>
        <family val="2"/>
      </rPr>
      <t>linha 91</t>
    </r>
    <r>
      <rPr>
        <sz val="12"/>
        <rFont val="Arial"/>
        <family val="2"/>
      </rPr>
      <t xml:space="preserve">). Na </t>
    </r>
    <r>
      <rPr>
        <b/>
        <sz val="12"/>
        <rFont val="Arial"/>
        <family val="2"/>
      </rPr>
      <t>linha 94</t>
    </r>
    <r>
      <rPr>
        <sz val="12"/>
        <rFont val="Arial"/>
        <family val="2"/>
      </rPr>
      <t xml:space="preserve"> informa-se também o custo variável unitário (custo variável por saco), que indica, ao mesmo tempo, qual o preço necessário para que a atividade se sustente economicamente no curto prazo, para a produtividade considerada. E na </t>
    </r>
    <r>
      <rPr>
        <b/>
        <sz val="12"/>
        <rFont val="Arial"/>
        <family val="2"/>
      </rPr>
      <t>linha 97</t>
    </r>
    <r>
      <rPr>
        <sz val="12"/>
        <rFont val="Arial"/>
        <family val="2"/>
      </rPr>
      <t xml:space="preserve"> ela informa qual a produtividade necessária para que a atividade se sustente economicamente no curto prazo, ao preço considerado.</t>
    </r>
  </si>
  <si>
    <t xml:space="preserve">          A planilha pressupõe uso de terra própria. Por isso é calculado o juro sobre o valor da terra (custo de oportunidade), na linha 80, dentro do custo fixo. Mas se o cultivo ocorrer em terra arrendada, então o valor do arrendamento é incluído dentro de outros custos variáveis, na linha 69 e zera-se o total da linha 80, preenchendo com "zero" a coluna de valor unitário. Os valores não devem ser muito diferentes, uma vez que o valor que o dono da terra cobra a título de juros deve ser semelhante ao que ele receberia se optasse por arrendar a sua terra.</t>
  </si>
  <si>
    <t xml:space="preserve">          A planilha também pressupõe que todas as máquinas sejam alugadas (trator, com implementos, e automotriz). As linhas 46 a 56 referem-se aos serviços mecânicos para o caso das máquinas serem alugadas. Todos os custos estão dentro do custo variável. Agora, se a máquina (trator ou automotriz) for própria, uma parte dos custos será incluída em custos fixos e outra em custos variáveis.</t>
  </si>
  <si>
    <t xml:space="preserve">          O salário (e encargos) do operador deve ser introduzido na linha 42, dentro da mão-de-obra e, portanto, dentro de custos variáveis, mesmo que se trate de mão-de-obra própria. Soma-se trator e automotriz, se as duas máquinas forem próprias. Se só um deles for próprio, incluir apenas este. Para o cálculo do custo/hora considera-se 176 horas por mês, 1,5 salários mínimos de remuneração, com acréscimo de 75% como encargos sociais. Nesta planilha foram  consideradas 8 horas para o trator e uma hora para automotriz.</t>
  </si>
  <si>
    <t xml:space="preserve">          O conserto e manutenção do trator e da automotriz devem ser introduzidos nas linhas 67 e 68, respectivamente, dentro de outros custos variáveis. Para o trator, é calculado como 7% ao ano do valor do novo e, no exemplo desta planilha, considera-se 1.000 horas trabalhadas por ano. O usuário deve entrar com valor para o seu caso. E para a automotriz é calculado como 10% ao ano, considerando 400 horas anuais.</t>
  </si>
  <si>
    <t xml:space="preserve">          A depreciação, o seguro e os juros sobre o capital devem ser incorporados nas linhas 82 e 83, respectivamente para o trator e automotriz, dentro de outros custos fixos. A depreciação do trator e da automotriz é calculada pela subtração do valor do bem quando novo menos o valor de sucata e dividindo-se pelo número de horas trabalhadas em toda a vida útil, considerada como 10.000 para o trator e 4.800 para a automotriz. Para o trator o seguro é calculado como 1% sobre o valor médio entre o valor do novo e o valor de sucata e dividido, nesta planilha, por 1.000 horas anuais trabalhadas e para a automotriz como 6% sobre o valor médio entre o valor do novo e o valor de sucata e dividido, nesta planilha, por 400 horas anuais trabalhadas.</t>
  </si>
  <si>
    <t xml:space="preserve">          Portanto, a grande diferença entre o cálculo com máquina alugada ou própria é que quando os recursos são próprios os custos fixos são mais altos e os variáveis mais baixos, o que tem uma grande implicação no gerenciamento da atividade. Quando a máquina é arrendada todo o seu custo deve ser coberto na própria safra, por se tratar de custo variável. Já quando a máquina é própria, os custos da depreciação, do seguro e dos juros sobre o capital não precisam ser cobertos na própria safra. Eles podem ser cobertos em safras futuras.</t>
  </si>
  <si>
    <t xml:space="preserve">          O uso médio anual do trato e da automotriz (linhas 109 e 112, respectivamente) são informações com grande impacto no custo da hora-máquina própria.  Quanto maior o uso anual menor será o custo. Por isso, é importante estimar esta informação com bastante cuidado. No exemplo da planilha foi estimado um uso médio de 1.000 horas por ano para o trator e 480 para a automotriz. Mas o usuário deve fazer, cuidadosamente,  a estimativa para o seu próprio caso.</t>
  </si>
  <si>
    <t xml:space="preserve">          É importante ter cuidado para não incluir uma mesma máquina como própria (nas linhas 26, 27, 42, 67, 68, 82, 83 e 84) e, ao mesmo tempo, como alugada (nas linhas 46 até 56). Se todas as máquinas forem próprias a coluna "Valor Total" das linhas 46 até 56 devem estar com valor zero.  E se todas as máquinas forem alugadas as linhas 26, 27, 42, 67, 68, 82, 83 e 84 devem estar com valor zero na coluna do "Valor Total". Se ocorrer que o trator é próprio e a automotriz é alugada, então o "Valor Total" das linhas 68 e 83 devem estar com valor zero e nas linhas 26, 27 e 42 só devem ser incluídos os dados referentes ao trator, sem somar com os da automotriz, como está no exemplo da planilha.</t>
  </si>
  <si>
    <r>
      <t xml:space="preserve">         Para uma produtividade de </t>
    </r>
    <r>
      <rPr>
        <b/>
        <sz val="12"/>
        <rFont val="Arial"/>
        <family val="2"/>
      </rPr>
      <t>140 sc/ha (50 kg)</t>
    </r>
    <r>
      <rPr>
        <sz val="12"/>
        <rFont val="Arial"/>
        <family val="2"/>
      </rPr>
      <t xml:space="preserve"> e um preço de </t>
    </r>
    <r>
      <rPr>
        <b/>
        <sz val="12"/>
        <rFont val="Arial"/>
        <family val="2"/>
      </rPr>
      <t>R$ 28,00</t>
    </r>
    <r>
      <rPr>
        <sz val="12"/>
        <rFont val="Arial"/>
        <family val="2"/>
      </rPr>
      <t xml:space="preserve"> por saco de </t>
    </r>
    <r>
      <rPr>
        <b/>
        <sz val="12"/>
        <rFont val="Arial"/>
        <family val="2"/>
      </rPr>
      <t>50 kg</t>
    </r>
    <r>
      <rPr>
        <sz val="12"/>
        <rFont val="Arial"/>
        <family val="2"/>
      </rPr>
      <t xml:space="preserve"> considerados na planilha, o lucro foi ligeiramente negativo, de </t>
    </r>
    <r>
      <rPr>
        <b/>
        <sz val="12"/>
        <color indexed="10"/>
        <rFont val="Arial"/>
        <family val="2"/>
      </rPr>
      <t>R$ 88,75</t>
    </r>
    <r>
      <rPr>
        <sz val="12"/>
        <rFont val="Arial"/>
        <family val="2"/>
      </rPr>
      <t xml:space="preserve"> por hectare (</t>
    </r>
    <r>
      <rPr>
        <b/>
        <sz val="12"/>
        <rFont val="Arial"/>
        <family val="2"/>
      </rPr>
      <t>R$ 0,63 por saco</t>
    </r>
    <r>
      <rPr>
        <sz val="12"/>
        <rFont val="Arial"/>
        <family val="2"/>
      </rPr>
      <t xml:space="preserve">), significando que a atividade não é  economicamente sustentável no longo prazo. Mas não está longe disso. Basta que o preço suba dos </t>
    </r>
    <r>
      <rPr>
        <b/>
        <sz val="12"/>
        <rFont val="Arial"/>
        <family val="2"/>
      </rPr>
      <t>R$ 28,00</t>
    </r>
    <r>
      <rPr>
        <sz val="12"/>
        <rFont val="Arial"/>
        <family val="2"/>
      </rPr>
      <t xml:space="preserve"> considerados para </t>
    </r>
    <r>
      <rPr>
        <b/>
        <sz val="12"/>
        <rFont val="Arial"/>
        <family val="2"/>
      </rPr>
      <t>R$ 28,64</t>
    </r>
    <r>
      <rPr>
        <sz val="12"/>
        <rFont val="Arial"/>
        <family val="2"/>
      </rPr>
      <t xml:space="preserve">, pois este é o custo total unitário calculado, se mantida a produtividade de </t>
    </r>
    <r>
      <rPr>
        <b/>
        <sz val="12"/>
        <rFont val="Arial"/>
        <family val="2"/>
      </rPr>
      <t>140 sacos por hectare</t>
    </r>
    <r>
      <rPr>
        <sz val="12"/>
        <rFont val="Arial"/>
        <family val="2"/>
      </rPr>
      <t xml:space="preserve">.  Ou, então, que a produtividade suba dos </t>
    </r>
    <r>
      <rPr>
        <b/>
        <sz val="12"/>
        <rFont val="Arial"/>
        <family val="2"/>
      </rPr>
      <t>140 sacos</t>
    </r>
    <r>
      <rPr>
        <sz val="12"/>
        <rFont val="Arial"/>
        <family val="2"/>
      </rPr>
      <t xml:space="preserve"> considerados para </t>
    </r>
    <r>
      <rPr>
        <b/>
        <sz val="12"/>
        <rFont val="Arial"/>
        <family val="2"/>
      </rPr>
      <t>143,17</t>
    </r>
    <r>
      <rPr>
        <sz val="12"/>
        <rFont val="Arial"/>
        <family val="2"/>
      </rPr>
      <t xml:space="preserve">, para o preço de </t>
    </r>
    <r>
      <rPr>
        <b/>
        <sz val="12"/>
        <rFont val="Arial"/>
        <family val="2"/>
      </rPr>
      <t>R$ 28,00</t>
    </r>
    <r>
      <rPr>
        <sz val="12"/>
        <rFont val="Arial"/>
        <family val="2"/>
      </rPr>
      <t>.</t>
    </r>
  </si>
  <si>
    <r>
      <t xml:space="preserve">         A título de exemplo de outras simulações úteis, suponha-se que o produtor esteja pensando em reduzir o uso de insumos, como resposta a uma queda no preço do arroz.  Para saber se este poderia ser um caminho economicamente viável uma simulação pode ser útil. Através dela poderá se constatar que se o uso de insumos for reduzido pela metade o lucro não será afetado negativamente, com o custo por saco permanecendo em torno de R$ 28,64, desde que a produtividade não caia abaixo de 125 sacos por hectare. Do contrário, haverá perdas. </t>
    </r>
    <r>
      <rPr>
        <sz val="12"/>
        <rFont val="Arial"/>
        <family val="2"/>
      </rPr>
      <t xml:space="preserve">Portanto, uma redução de </t>
    </r>
    <r>
      <rPr>
        <b/>
        <sz val="12"/>
        <rFont val="Arial"/>
        <family val="2"/>
      </rPr>
      <t>50%</t>
    </r>
    <r>
      <rPr>
        <sz val="12"/>
        <rFont val="Arial"/>
        <family val="2"/>
      </rPr>
      <t xml:space="preserve"> no uso de insumos só se justifica se a produtividade cair apenas </t>
    </r>
    <r>
      <rPr>
        <b/>
        <sz val="12"/>
        <rFont val="Arial"/>
        <family val="2"/>
      </rPr>
      <t>10,7%</t>
    </r>
    <r>
      <rPr>
        <sz val="12"/>
        <rFont val="Arial"/>
        <family val="2"/>
      </rPr>
      <t xml:space="preserve"> (de </t>
    </r>
    <r>
      <rPr>
        <b/>
        <sz val="12"/>
        <rFont val="Arial"/>
        <family val="2"/>
      </rPr>
      <t>140</t>
    </r>
    <r>
      <rPr>
        <sz val="12"/>
        <rFont val="Arial"/>
        <family val="2"/>
      </rPr>
      <t xml:space="preserve"> para </t>
    </r>
    <r>
      <rPr>
        <b/>
        <sz val="12"/>
        <rFont val="Arial"/>
        <family val="2"/>
      </rPr>
      <t>125 sacos por hectare</t>
    </r>
    <r>
      <rPr>
        <sz val="12"/>
        <rFont val="Arial"/>
        <family val="2"/>
      </rPr>
      <t xml:space="preserve">), indicando ser pouco provável que se trate de uma estratégia economicamente viável. </t>
    </r>
  </si>
  <si>
    <r>
      <t xml:space="preserve">          Para uma produtividade de </t>
    </r>
    <r>
      <rPr>
        <b/>
        <sz val="12"/>
        <rFont val="Arial"/>
        <family val="2"/>
      </rPr>
      <t>140 sc/ha (50 kg)</t>
    </r>
    <r>
      <rPr>
        <sz val="12"/>
        <rFont val="Arial"/>
        <family val="2"/>
      </rPr>
      <t xml:space="preserve"> e um preço de </t>
    </r>
    <r>
      <rPr>
        <b/>
        <sz val="12"/>
        <rFont val="Arial"/>
        <family val="2"/>
      </rPr>
      <t>R$ 28,00</t>
    </r>
    <r>
      <rPr>
        <sz val="12"/>
        <rFont val="Arial"/>
        <family val="2"/>
      </rPr>
      <t xml:space="preserve"> por saco de </t>
    </r>
    <r>
      <rPr>
        <b/>
        <sz val="12"/>
        <rFont val="Arial"/>
        <family val="2"/>
      </rPr>
      <t>50 kg</t>
    </r>
    <r>
      <rPr>
        <sz val="12"/>
        <rFont val="Arial"/>
        <family val="2"/>
      </rPr>
      <t xml:space="preserve"> considerados na planilha, a margem bruta foi positiva em </t>
    </r>
    <r>
      <rPr>
        <b/>
        <sz val="12"/>
        <rFont val="Arial"/>
        <family val="2"/>
      </rPr>
      <t>R$ 1.387,92</t>
    </r>
    <r>
      <rPr>
        <sz val="12"/>
        <rFont val="Arial"/>
        <family val="2"/>
      </rPr>
      <t xml:space="preserve"> por hectare, significando que no curto prazo a atividade deve continuar. O custo variável, por saco, é de </t>
    </r>
    <r>
      <rPr>
        <b/>
        <sz val="12"/>
        <rFont val="Arial"/>
        <family val="2"/>
      </rPr>
      <t>R$ 18,09</t>
    </r>
    <r>
      <rPr>
        <sz val="12"/>
        <rFont val="Arial"/>
        <family val="2"/>
      </rPr>
      <t xml:space="preserve">, significando que este é o preço necessário para que a atividade continue no curto prazo, para uma produtividade de 140 sacos por hectare. A produtividade necessária para que a atividade continue no curto prazo é de </t>
    </r>
    <r>
      <rPr>
        <b/>
        <sz val="12"/>
        <rFont val="Arial"/>
        <family val="2"/>
      </rPr>
      <t>90,43</t>
    </r>
    <r>
      <rPr>
        <sz val="12"/>
        <rFont val="Arial"/>
        <family val="2"/>
      </rPr>
      <t xml:space="preserve">, para um preço de </t>
    </r>
    <r>
      <rPr>
        <b/>
        <sz val="12"/>
        <rFont val="Arial"/>
        <family val="2"/>
      </rPr>
      <t>R$ 28,00</t>
    </r>
    <r>
      <rPr>
        <sz val="12"/>
        <rFont val="Arial"/>
        <family val="2"/>
      </rPr>
      <t xml:space="preserve">.  </t>
    </r>
  </si>
  <si>
    <t xml:space="preserve">         Aqui (visão de curto prazo) também o usuário pode fazer várias simulações com a produtividade e o preço, da mesma forma como foi descrito para o longo prazo.</t>
  </si>
  <si>
    <t>Ricer</t>
  </si>
  <si>
    <t>Aurora</t>
  </si>
  <si>
    <t>ml</t>
  </si>
  <si>
    <t>Actara 250 wg</t>
  </si>
  <si>
    <t xml:space="preserve">          O óleo diesel deve ser incluído na linha 26, dentro de insumos e, portanto, dentro de custos variáveis, somando-se todas as operações (aração, gradagem, etc) com trator e também com automotriz, se as duas máquinas forem próprias. Em exercícios realizados com esta planilha, estimou-se 8 horas de trator e 1,7 horas de automotriz, sendo que o trator consome 9 litros e a automotriz 11 litros de diesel por hora, totalizando 90,7 litros. Os demais insumos (óleo lubrificante, diversos tipos de filtros, etc), para simplificar, foram incluídos na linha 27, estimados em 15% do custo com óleo diesel.</t>
  </si>
  <si>
    <t xml:space="preserve">          Quanto ao custo dos implementos do trator (linha 84), já que são muitos implementos, sugere-se consultar custos da Epagri/Cepa www.epagri.sc.gov.br, que são atualizados trimestralmente. Clique nesta sequência: Mercado Agrícola (bem ao final da página, dentro de "serviços"), Custo de Produção, Implementos Agrícolas. Multiplique o custo/hora de cada implemento utilizado pelo número de horas trabalhadas e faça a soma do custo/ha de todos os implementos utilizados.</t>
  </si>
  <si>
    <t xml:space="preserve">  Benfeitorias</t>
  </si>
  <si>
    <t>%</t>
  </si>
  <si>
    <t>Vida útil do trator (em anos)</t>
  </si>
  <si>
    <t xml:space="preserve">Óleo diesel p/ trator </t>
  </si>
  <si>
    <t xml:space="preserve">Outros insumos p/ trator </t>
  </si>
  <si>
    <t xml:space="preserve">Sal.+enc. Oper. Trator </t>
  </si>
  <si>
    <t>Trator+grade</t>
  </si>
  <si>
    <t>Trator+rotativa</t>
  </si>
  <si>
    <t>Trator+pranchão</t>
  </si>
  <si>
    <t>Trator+ carreta</t>
  </si>
  <si>
    <t>Trator + arado</t>
  </si>
  <si>
    <t xml:space="preserve">R$/ha </t>
  </si>
  <si>
    <t>RESULTADOS</t>
  </si>
  <si>
    <t>Trator + equipamento</t>
  </si>
  <si>
    <t>Participação % no custo</t>
  </si>
  <si>
    <t xml:space="preserve"> 20% do valor novo</t>
  </si>
  <si>
    <t>10% do valor novo</t>
  </si>
  <si>
    <t xml:space="preserve">Receita bruta por ha </t>
  </si>
  <si>
    <t xml:space="preserve">Margem bruta por ha </t>
  </si>
  <si>
    <t xml:space="preserve">Lucro por ha </t>
  </si>
  <si>
    <t>Custo variável por saco</t>
  </si>
  <si>
    <t xml:space="preserve">Custo total por ha </t>
  </si>
  <si>
    <t>Receita bruta (RB)</t>
  </si>
  <si>
    <t>Margem bruta (RB - CV)</t>
  </si>
  <si>
    <t>Custo variável unitário</t>
  </si>
  <si>
    <t>Lucro (RB -CT)</t>
  </si>
  <si>
    <t>Custo fixo unitário</t>
  </si>
  <si>
    <t>Custo total unitário</t>
  </si>
  <si>
    <t>Colheita e transp. interno</t>
  </si>
  <si>
    <t xml:space="preserve">7 - Custos Financeiros </t>
  </si>
  <si>
    <t>8 - Desp. comercialização</t>
  </si>
  <si>
    <t>9 - Outros Custos Var.</t>
  </si>
  <si>
    <t>Conserto e manut.trator</t>
  </si>
  <si>
    <t xml:space="preserve">1 - Manut. benfeitorias </t>
  </si>
  <si>
    <t>2 - Deprec. benfeitorias</t>
  </si>
  <si>
    <t>4 - Remun. capital fixo</t>
  </si>
  <si>
    <t>OUTROS DADOS</t>
  </si>
  <si>
    <t>Valor salário mínimo</t>
  </si>
  <si>
    <t>Trator c/pneu - Valor sucata</t>
  </si>
  <si>
    <t>Custo serv.mec. próprios</t>
  </si>
  <si>
    <t xml:space="preserve">     - Destorroamento (duas)</t>
  </si>
  <si>
    <t xml:space="preserve">     - Gradagem</t>
  </si>
  <si>
    <t xml:space="preserve">     - Transporte interno</t>
  </si>
  <si>
    <t>Galpão rústico - Valor sucata</t>
  </si>
  <si>
    <t>Custo total - CT = CV + CF</t>
  </si>
  <si>
    <t>Recebido p/ produtor</t>
  </si>
  <si>
    <t>QUANT.</t>
  </si>
  <si>
    <t>UNID.</t>
  </si>
  <si>
    <t>dh</t>
  </si>
  <si>
    <t>sc/ha</t>
  </si>
  <si>
    <t>mês</t>
  </si>
  <si>
    <t>h/ano</t>
  </si>
  <si>
    <t>ano</t>
  </si>
  <si>
    <t>h</t>
  </si>
  <si>
    <t>l/h</t>
  </si>
  <si>
    <t>R$</t>
  </si>
  <si>
    <t>2,3% s/ receita bruta</t>
  </si>
  <si>
    <t>(De acordo c/ dados da CEPA)</t>
  </si>
  <si>
    <t xml:space="preserve">Para todas as operações </t>
  </si>
  <si>
    <t>Salário (sal) para 176 horas/mês</t>
  </si>
  <si>
    <t>2,0% desembolso (Insumos+Mão obra+</t>
  </si>
  <si>
    <t>1,7% desembolso (Insumos+Mão obra +</t>
  </si>
  <si>
    <t>Serv.Mec. Alugados + Despesas Gerais</t>
  </si>
  <si>
    <t>Serv.Mec.Alugado + Despesas Gerais</t>
  </si>
  <si>
    <t>2% sobre 80% do desembolso (VD)</t>
  </si>
  <si>
    <t>VD=(1)+(2)+(3)+(4), para 8 meses.</t>
  </si>
  <si>
    <t xml:space="preserve">6% sobre: 20% VD + assit.técnica(5) + </t>
  </si>
  <si>
    <t>seguro da produção (6)</t>
  </si>
  <si>
    <t>1%(transp.) + 3%(secag.) s/ receita bruta</t>
  </si>
  <si>
    <t>25 anos/área média.</t>
  </si>
  <si>
    <t>terra de várzea sistematizada</t>
  </si>
  <si>
    <t>1% sobre valor galpão novo/área média</t>
  </si>
  <si>
    <t>valor sucata/2)/área média</t>
  </si>
  <si>
    <t>(VN = Valor novo;  VS = Valor de sucata)</t>
  </si>
  <si>
    <t>Depreciação: VN-VS/horas-ano/vida útil</t>
  </si>
  <si>
    <t>Seguro: 1% sobre VM/horas-ano/vida útil</t>
  </si>
  <si>
    <t xml:space="preserve">Juros: 6% sobre VM/horas-ano/vida útil </t>
  </si>
  <si>
    <t xml:space="preserve">Grade: 23% do custo do trator </t>
  </si>
  <si>
    <t>Enxada rotativa: 33% do custo do trator</t>
  </si>
  <si>
    <t xml:space="preserve"> Pranchão: 16,6% do custo do trator</t>
  </si>
  <si>
    <t xml:space="preserve"> Carreta: 10% do custo do  trator</t>
  </si>
  <si>
    <t>Valor médio (VM) = (VN + VS)/2</t>
  </si>
  <si>
    <t>7% s/ Valor Novo/horas-ano trabalhadas</t>
  </si>
  <si>
    <t>Valor terra - várzea sistemat.</t>
  </si>
  <si>
    <t>8% sobre custo variável (linha 6)</t>
  </si>
  <si>
    <t xml:space="preserve">Manut.canais/taipas/drenos </t>
  </si>
  <si>
    <t xml:space="preserve">(Depreciação, Seguro e </t>
  </si>
  <si>
    <t>Juros s/ o capital)</t>
  </si>
  <si>
    <t xml:space="preserve"> do trator</t>
  </si>
  <si>
    <t>Valor galpão novo menos valor sucata/</t>
  </si>
  <si>
    <t>6% s/valor médio galpão (valor  novo +</t>
  </si>
  <si>
    <t>Custo fixo por saco</t>
  </si>
  <si>
    <t xml:space="preserve">Custo total por saco </t>
  </si>
  <si>
    <t xml:space="preserve">Colheita (aluguel automotriz) </t>
  </si>
  <si>
    <t xml:space="preserve">Transp. externo/Secagem </t>
  </si>
  <si>
    <t>10 % renda bruta (produçãox preço)</t>
  </si>
  <si>
    <t xml:space="preserve">sc/ha </t>
  </si>
  <si>
    <t xml:space="preserve">R$/sc </t>
  </si>
  <si>
    <t>2,0x1,75xsal/176=8,13</t>
  </si>
  <si>
    <t xml:space="preserve">1% (Insumos+Mão obra+Serv.Mec.Alug.) </t>
  </si>
  <si>
    <t>20% do valor novo</t>
  </si>
  <si>
    <t>Horas/ano trabalhadas (trator)</t>
  </si>
  <si>
    <t xml:space="preserve"> Custo-hora dos implementos</t>
  </si>
  <si>
    <r>
      <rPr>
        <b/>
        <sz val="10"/>
        <rFont val="Arial MT"/>
      </rPr>
      <t>Trator</t>
    </r>
    <r>
      <rPr>
        <sz val="10"/>
        <rFont val="Arial MT"/>
      </rPr>
      <t xml:space="preserve"> c/pneu</t>
    </r>
  </si>
  <si>
    <t xml:space="preserve">Outros insumos </t>
  </si>
  <si>
    <t>15% do óleo diesel p/ "chupa cabra"</t>
  </si>
  <si>
    <t>15% do óleo diesel p/ trator</t>
  </si>
  <si>
    <t xml:space="preserve">  -</t>
  </si>
  <si>
    <t xml:space="preserve">  - </t>
  </si>
  <si>
    <t xml:space="preserve"> - Semeadura</t>
  </si>
  <si>
    <t xml:space="preserve"> -Adubação (todas aplicações)</t>
  </si>
  <si>
    <t xml:space="preserve">     Trator</t>
  </si>
  <si>
    <t xml:space="preserve">     Trator </t>
  </si>
  <si>
    <t xml:space="preserve">    Total trator</t>
  </si>
  <si>
    <t xml:space="preserve">   -Consumo diesel p/ trator</t>
  </si>
  <si>
    <t>Trator + rolo faca</t>
  </si>
  <si>
    <t>Pulverizador 600 l: 39% do custo trator</t>
  </si>
  <si>
    <t xml:space="preserve">     - Semeadura</t>
  </si>
  <si>
    <t xml:space="preserve"> -Pulverizações (9) </t>
  </si>
  <si>
    <t>Óleo diesel p/ o TAI</t>
  </si>
  <si>
    <t>Outros insumos p/ TAI</t>
  </si>
  <si>
    <t>Sal.+enc. Oper. TAI</t>
  </si>
  <si>
    <t>Conserto e manutenção TAI</t>
  </si>
  <si>
    <t>Outros insumos</t>
  </si>
  <si>
    <r>
      <t xml:space="preserve">15% do óleo diesel p/ TAI </t>
    </r>
    <r>
      <rPr>
        <b/>
        <sz val="8"/>
        <rFont val="Arial MT"/>
      </rPr>
      <t>(TRATOR p /</t>
    </r>
  </si>
  <si>
    <t>APLICAÇÃO DE INSUMOS)</t>
  </si>
  <si>
    <t xml:space="preserve">      TAI (Trator Aplic. Insum.)</t>
  </si>
  <si>
    <r>
      <t xml:space="preserve"> </t>
    </r>
    <r>
      <rPr>
        <sz val="10"/>
        <rFont val="Arial MT"/>
      </rPr>
      <t>do TAI</t>
    </r>
  </si>
  <si>
    <t>TAI</t>
  </si>
  <si>
    <t>TAI- Valor sucata</t>
  </si>
  <si>
    <t>Vida útil do TAI (anos)</t>
  </si>
  <si>
    <t>Horas/ano (TAI)</t>
  </si>
  <si>
    <t xml:space="preserve">   TAI</t>
  </si>
  <si>
    <t xml:space="preserve">   Total TAI</t>
  </si>
  <si>
    <r>
      <t xml:space="preserve">   </t>
    </r>
    <r>
      <rPr>
        <b/>
        <sz val="10"/>
        <rFont val="Arial MT"/>
      </rPr>
      <t>-Consumo diesel p/ TAI</t>
    </r>
  </si>
  <si>
    <r>
      <t>TAI</t>
    </r>
    <r>
      <rPr>
        <sz val="8"/>
        <color indexed="10"/>
        <rFont val="Arial MT"/>
      </rPr>
      <t xml:space="preserve"> </t>
    </r>
    <r>
      <rPr>
        <sz val="8"/>
        <rFont val="Arial MT"/>
      </rPr>
      <t>+ adubadora</t>
    </r>
  </si>
  <si>
    <r>
      <t>TAI</t>
    </r>
    <r>
      <rPr>
        <sz val="8"/>
        <color indexed="10"/>
        <rFont val="Arial MT"/>
      </rPr>
      <t xml:space="preserve"> </t>
    </r>
    <r>
      <rPr>
        <sz val="8"/>
        <rFont val="Arial MT"/>
      </rPr>
      <t>+ semeadora</t>
    </r>
  </si>
  <si>
    <t>TAI + pulverizador + semeadora + adub.</t>
  </si>
  <si>
    <t>TAI + equipamento</t>
  </si>
  <si>
    <r>
      <t xml:space="preserve">   </t>
    </r>
    <r>
      <rPr>
        <b/>
        <sz val="8"/>
        <rFont val="Arial MT"/>
      </rPr>
      <t>-Consumo diesel p/ TAI</t>
    </r>
  </si>
  <si>
    <t>Roundup</t>
  </si>
  <si>
    <t>Only</t>
  </si>
  <si>
    <t>Dash</t>
  </si>
  <si>
    <t>Alterne</t>
  </si>
  <si>
    <t>Trator+grade (cinco passadas)</t>
  </si>
  <si>
    <t xml:space="preserve">     - Rotativar</t>
  </si>
  <si>
    <t>Trator + rotativa</t>
  </si>
  <si>
    <t xml:space="preserve">     - Plainar</t>
  </si>
  <si>
    <t>Trator+plaina (arrastão)</t>
  </si>
  <si>
    <t xml:space="preserve">Trator + plantadeira/adubadeira </t>
  </si>
  <si>
    <t xml:space="preserve"> -Pulverizações </t>
  </si>
  <si>
    <t xml:space="preserve"> Custo-hora implementos do TAI</t>
  </si>
  <si>
    <t xml:space="preserve">Grade: 23% do custo/hora do trator </t>
  </si>
  <si>
    <t>Enxada rotativa: 33% do custo/hora do trator</t>
  </si>
  <si>
    <t xml:space="preserve"> Pranchão: 16,6% do custo/hora do trator</t>
  </si>
  <si>
    <t xml:space="preserve"> Carreta: 10% do custo/hora do  trator</t>
  </si>
  <si>
    <t>Pulverizador 600 l: 39% do custo/hora trator</t>
  </si>
  <si>
    <t>5 - Remuneração administrador</t>
  </si>
  <si>
    <t>6 - Remuneração da terra</t>
  </si>
  <si>
    <t>Trator</t>
  </si>
  <si>
    <t xml:space="preserve">Trator </t>
  </si>
  <si>
    <t>Total trator</t>
  </si>
  <si>
    <t>Total TAI</t>
  </si>
  <si>
    <t>2,0x1,75xsal/176=12,37</t>
  </si>
  <si>
    <t xml:space="preserve">Trator + </t>
  </si>
  <si>
    <t>Adubadora: 42% do custo-hora do trator</t>
  </si>
  <si>
    <t>Semeadora: 42% do custo-hora do trator</t>
  </si>
  <si>
    <t xml:space="preserve">TAI + pulverizador </t>
  </si>
  <si>
    <t xml:space="preserve"> -Semeadura</t>
  </si>
  <si>
    <t>Óleo diesel p/automotriz</t>
  </si>
  <si>
    <t>Outros insumos p/automotriz</t>
  </si>
  <si>
    <t>Automotriz</t>
  </si>
  <si>
    <t>Colheita</t>
  </si>
  <si>
    <t>Arrendamento da terra</t>
  </si>
  <si>
    <t>Percentual s/ produção</t>
  </si>
  <si>
    <t>Consumo de diesel</t>
  </si>
  <si>
    <t>15% do óleo p/ automotriz</t>
  </si>
  <si>
    <t>Sal.+enc.Oper. Automotriz</t>
  </si>
  <si>
    <t>Conserto e manut. Automotriz</t>
  </si>
  <si>
    <t xml:space="preserve">Automotriz - Valor sucata </t>
  </si>
  <si>
    <t>Vida útil da automotriz (em anos)</t>
  </si>
  <si>
    <t>Horas/ano trabalhadas (automotriz)</t>
  </si>
  <si>
    <r>
      <t xml:space="preserve">3 - Serv. Mec. </t>
    </r>
    <r>
      <rPr>
        <b/>
        <u/>
        <sz val="10"/>
        <rFont val="Arial MT"/>
      </rPr>
      <t>ALUGADOS</t>
    </r>
  </si>
  <si>
    <t xml:space="preserve"> 7,5 h/ha x 9 litros/h (linhas 155, 156) </t>
  </si>
  <si>
    <t xml:space="preserve">  - Insumos</t>
  </si>
  <si>
    <t xml:space="preserve">  - Mão de obra</t>
  </si>
  <si>
    <t xml:space="preserve">  - Mecanização (trator)</t>
  </si>
  <si>
    <t xml:space="preserve">  - Colheita</t>
  </si>
  <si>
    <t xml:space="preserve">  - TOTAL</t>
  </si>
  <si>
    <t xml:space="preserve">  - Juros s/ terra ou arrendam.</t>
  </si>
  <si>
    <t>Custo total (CT = CV + CF)</t>
  </si>
  <si>
    <t>R$/sc</t>
  </si>
  <si>
    <t>D158</t>
  </si>
  <si>
    <t xml:space="preserve">    - Insumos</t>
  </si>
  <si>
    <t xml:space="preserve">    - Mão de obra</t>
  </si>
  <si>
    <t xml:space="preserve">    - Mecanização </t>
  </si>
  <si>
    <t xml:space="preserve">    - Juros s/ terra ou arrendamento</t>
  </si>
  <si>
    <t xml:space="preserve">    - Colheita</t>
  </si>
  <si>
    <t xml:space="preserve">    - Outros</t>
  </si>
  <si>
    <t xml:space="preserve">    - TOTAL</t>
  </si>
  <si>
    <t>Custo operacional</t>
  </si>
  <si>
    <t>Pagto. Rec. Próprios (renda dos fatores)</t>
  </si>
  <si>
    <t>Custo não operacional</t>
  </si>
  <si>
    <t xml:space="preserve">Custo var. + deprec. + outros CF </t>
  </si>
  <si>
    <t>Pagto. Rec. Próprios (renda fatores)</t>
  </si>
  <si>
    <t>%;R$/sc</t>
  </si>
  <si>
    <t xml:space="preserve"> </t>
  </si>
  <si>
    <r>
      <rPr>
        <b/>
        <sz val="10"/>
        <rFont val="Arial MT"/>
      </rPr>
      <t>6 -</t>
    </r>
    <r>
      <rPr>
        <b/>
        <sz val="10"/>
        <color indexed="10"/>
        <rFont val="Arial MT"/>
      </rPr>
      <t xml:space="preserve"> Remuneração da terra</t>
    </r>
  </si>
  <si>
    <t>Tabela - Custo de produção do arroz irrigado para o estado de Santa Catarina. Consedera-se</t>
  </si>
  <si>
    <t>Valor novo (VN) - marcas mais comuns</t>
  </si>
  <si>
    <r>
      <t>TAI</t>
    </r>
    <r>
      <rPr>
        <sz val="8"/>
        <rFont val="Arial MT"/>
      </rPr>
      <t xml:space="preserve"> - 55 CV</t>
    </r>
  </si>
  <si>
    <t>um rendimento de 7.526 kg/ha (rendimento obtido na safra 2011/12), com plantio em solo seco. Santa Catarina, NOVEMBRO de 2012.</t>
  </si>
  <si>
    <t>COMENTÁRIOS TÉCNICOS E INSTRUÇÕES PARA USO DA PLANILHA</t>
  </si>
  <si>
    <t>O custo como ferramenta de gerenciamento</t>
  </si>
  <si>
    <t xml:space="preserve">                 O consumidor de arroz não vai sustentar o emprego de um produtor com uma produtividade de, digamos, 100 sc/ha se perceber que haverá produtores com produtividades superiores que sejam capazes de garantir o abastecimento do país. O mercado fará isto pagando um preço abaixo do seu custo por saco, forçando-o a abandonar a atividade.  Isto só não acontecerá se o seu custo por ha for muito inferior, que resulte num custo por saco inferior ao preço de mercado. Então, do ponto de vista econômico, o desafio que se apresenta para o profissional da assistência técnica em orizicultura consiste em “como minimizar o custo por ha para uma dada produtividade” ou, alternativamente, em “como maximizar a produtividade para um determinado custo por ha". Para tanto, é importante que ele tenha um custo corretamente calculado em suas mãos e que possua referências de custo de outros produtores da região para que possa fazer as devidas comparações.           </t>
  </si>
  <si>
    <r>
      <t xml:space="preserve">                   Portanto, ao contrário do que se poderia pensar, o cálculo do custo de produção não deve ser feito só para fins de política agrícola ou por ocasião do balanço da atividade. Ele deve ser visto também, e principalmente, como uma ferramenta de gerenciamento da atividade orizícola. Ele não é a única ferramenta, mas, certamente, é o ponto de partida.  Através dele é possível avaliar, previamente: se o produtor conseguirá</t>
    </r>
    <r>
      <rPr>
        <sz val="8"/>
        <color indexed="10"/>
        <rFont val="Arial"/>
        <family val="2"/>
      </rPr>
      <t xml:space="preserve"> </t>
    </r>
    <r>
      <rPr>
        <sz val="8"/>
        <rFont val="Arial"/>
        <family val="2"/>
      </rPr>
      <t xml:space="preserve">repor a infraestrutura que está sendo utilizada, se não vai se arrepender por não ter trabalhado em outra atividade (agrícola ou não), arrendando a lavoura para outros, se o produtor vai conseguir crescer economicamente (como é o objetivo de qualquer empresa quando é constituída). Mas só será possível levantar todas estas informações se todos os custos forem computados, mesmo que os recursos sejam próprios, de modo que não haja grandes diferenças entre um custo calculado quando todos os recursos são próprios ou quando todos os recursos são alugados (arrendados). </t>
    </r>
  </si>
  <si>
    <t xml:space="preserve">                    Argumenta-se que se todos os custos forem computados, dificilmente haverá alguma atividade agrícola que seja lucrativa em todas as safras e, assim, ninguém produziria nada. Na verdade, a teoria econômica não pressupõe que uma atividade deva ser lucrativa em todas as safras para que ela não seja abandonada. Ela deve ser lucrativa ao longo dos anos. Todos os custos devem, sim, ser computados, mas não necessariamente na própria safra. Muitos custos podem ser cobertos em safras futuras, que são os custos ligados à infraestrutura. Somente os custos específicos da safra é que devem ser cobertos com a receita da própria safra.</t>
  </si>
  <si>
    <t xml:space="preserve">                    Concluindo, a utilização desta planilha de custo do arroz permite avaliar a sustentabilidade econômica da atividade orizícola, tanto da safra presente (curto prazo) como das safras futuras (longo prazo), e as decisões que precisam ser tomadas pelo produtor para que isto aconteça. Espera-se que ela auxilie o produtor neste convencimento. </t>
  </si>
  <si>
    <t>Custos variáveis e custos fixos</t>
  </si>
  <si>
    <t>O custo está subdivido em “custos variáveis” e “custos fixos”. O custo variável é o que varia de acordo com o nível de produtividade, enquanto o custo fixo se mantém constante em todos os níveis de produtividade. Esta subdivisão é feita para facilitar a decisão do produtor se deve continuar ou não na atividade, o que depende do tipo de decisão a ser tomada, que pode ser classificada como “de longo prazo” e “de curto prazo”. A decisão “de longo prazo” é aquela em que o produtor tem a possibilidade de trocar de atividade (dentro da agricultura ou não), o que envolve tempo e recursos. Este tipo de decisão se refere a um horizonte mais amplo, que ultrapassa o da safra que está sendo planejada ou que está em andamento. A decisão “de curto prazo” é aquela onde não há tempo ou recursos suficientes para que o produtor mude de atividade. Normalmente, este tipo de decisão se limita à safra que está sendo planejada ou que está em andamento.</t>
  </si>
  <si>
    <t xml:space="preserve">Para uma decisão “de longo prazo” a subdivisão é desnecessária, pois a receita bruta de uma atividade qualquer deve cobrir todos os custos (variáveis e fixos). Entretanto, como os preços oscilam ao longo dos anos, provavelmente não haveria mais produtores, se este princípio fosse aplicado em todas as safras. Já numa decisão “de curto prazo”, o produtor só deixará a atividade se a receita bruta não cobrir nem os custos variáveis. Neste caso, é preferível que ele simplesmente deixe a atividade, mesmo que não vá ingressar em outra. Ele teria apenas o prejuízo do custo fixo. Mas continuar produzindo implicaria em agregar mais prejuízo (o da própria safra). Os custos fixos poderão ser cobertos em safras futuras, quando o preço do produto aumentar.  </t>
  </si>
  <si>
    <t>Podem surgir dúvidas quanto ao enquadramento de certos custos em fixos ou variáveis. Para análises de longo prazo, isto não faz nenhuma diferença, porque a receita bruta deve cobrir todos os custos, independentemente se o custo é classificado como fixo ou como variável. Já para análises de curto prazo, a correta classificação é muito importante já que, se o custo for preenchido como variável, ele terá que ser coberto na própria safra e, se for preenchido como fixo, este custo pode ser coberto em safras futuras, quando o preço do produto aumentar.</t>
  </si>
  <si>
    <t>Planilha de custo</t>
  </si>
  <si>
    <t xml:space="preserve">   </t>
  </si>
  <si>
    <t xml:space="preserve">Para efeito de cálculo de custo, são considerados como custos variáveis: insumos, mão de obra, serviços, assistência técnica, seguros, custos financeiros e despesas de comercialização e, como custos fixos: manutenção e depreciação de feitorias, remuneração do capital fixo, mão de obra fixa e remuneração da terra (Tabela 15.1). Como roteiro para cálculo do custo partiu-se da planilha de custo utilizada pela Epagri/Cepa, com algumas alterações. Há duas planilhas no arquivo, uma para o sistema pré-germinado e outra para o sistema de semeadura em solo seco. Mas a planilha pode ser utilizada para outros sistemas de cultivo, bastando, conforme o caso: a) eliminar as operações (manuais ou mecanizadas), os insumos e outros itens que não se apliquem ao sistema analisado; b) acrescentar (nas linhas em branco) ou substituir as operações e os insumos específicos que não estão contemplados na planilha e c) alterar os coeficientes técnicos, se necessário. </t>
  </si>
  <si>
    <t>A planilha contempla o uso de terra própria ou arrendada, máquinas próprias ou alugadas, como trator e implementos, TAI (trator para aplicação de insumos) e implementos, e colheita com automotriz própria ou alugada. Para tanto, basta preencher as linhas onde a situação se aplica e zerar as linhas onde a situação não se aplicam, preenchendo com zero a coluna “quantidade”, como será especificado adiante.</t>
  </si>
  <si>
    <t xml:space="preserve">O usuário poderá fazer alterações na própria planilha. Todas as células que estão na cor branca podem ser alteradas, tanto em relação aos itens como em relação aos valores. Desta forma, é possível acrescentar itens (insumos, operações manuais ou mecânicas, etc) fazendo uso das linhas em branco ou de linhas cujo item não for utilizado  em razão do sistema não utilizar aquele insumo ou aquela prática. E para eliminar algum item, basta preencher com zero a coluna da quantidade ou a coluna do valor unitário. </t>
  </si>
  <si>
    <t>Na coluna “especificação” estão relacionados os tipos de insumos e os tipos de tarefas executadas, além de muitas outras especificações. Também constam informações sobre como são automaticamente calculados pela planilha os coeficientes técnicos ou econômicos de uma dada linha e que estão descritos na coluna “especificação” da respectiva linha.</t>
  </si>
  <si>
    <t>Para que o custo possa ser corretamente calculado, deve-se preencher todas as informações pertinentes a cada caso, inclusive a parte final da planilha, com o título “outros dados” (linha 124). No preenchimento dos custos variáveis e fixos, deve-se ter cuidado nos campos “unidade de referência”, “quantidade” e “valor unitário” para não haver erro no cálculo do “valor total”.</t>
  </si>
  <si>
    <t xml:space="preserve"> Algumas células da planilha estão em verde claro e estão protegidas, por conterem fórmulas e, por isso, não podem ser alteradas. As células onde podem ser feitas alterações, estão com cor branca.  </t>
  </si>
  <si>
    <t xml:space="preserve">Todos os custos devem ser computados, inclusive quando se tratar de recursos próprios, como terra, mão-de-obra e recursos financeiros aplicados, mesmo que eles não impliquem em desembolso para o produtor. É como se fosse um pagamento para si próprio. Neste caso, devem ser computados pelo seu custo de oportunidade (na linguagem técnica), que consiste em avaliar quanto o produtor poderia efetivamente receber se ele alugar o recurso em vez de produzir. Se esses custos não forem incluídos, não há forma da atividade (ou empresa) ser economicamente sustentável e também crescer ao longo do tempo. Quando isso acontecer, o produtor só irá sentir as conseqüências quando não há mais ret orno. Irá perceber, muito tardiamente, que: a) ganhou menos que um operário da indústria, que não precisou entrar com nenhum capital para receber o seu salário; b) não evoluiu economicamente, pois não teve nenhum acréscimo patrimonial e c) não terá recursos para repor a infraestrutura existente (máquinas, equipamentos e construções) quando esta chegar ao fim de sua vida útil. A finalidade da inclusão desses custos é fazer com que o produtor possa se antecipar aos fatos e evitar as conseqüências negativas.   </t>
  </si>
  <si>
    <t xml:space="preserve">A planilha pressupõe uso de terra própria. Por isso é calculado o juro sobre o valor da terra (custo de oportunidade), na linha 94. Mas se o cultivo ocorrer em terra arrendada os valores não devem ser muito diferentes, uma vez que o valor que o dono da terra cobra a título de juros deve se aproximar ao que ele receberia se optasse por arrendar a sua terra. Neste caso, deve-se zerar a linha 94 e preencher a linha 77. </t>
  </si>
  <si>
    <t xml:space="preserve"> A planilha também pressupõe que todas as máquinas sejam próprias (trator e outras máquinas, com os implementos), menos a automotriz. Assim, o custo das operações com máquinas próprias estará distribuído em diversos itens, uma parte dos custos será incluída em custos variáveis e outra em custos fixos. Mas a planilha também os reúne por cada operação realizada (gradagem, pulverização, etc) por se tratar de informações que poderão ser muito úteis na elaboração de projetos e no planejamento de propriedades orizícolas. Tais custos são apresentados dentro de “outros dados” (linha 124) e, mais especificamente, nas linhas 138 a 148 para o trator, nas linhas 149 a 157 para o TAI e nas linhas 158 a 160 para a automotriz. Para o caso das máquinas alugadas deve-se preencher as linhas 52 a 60 e, ao mesmo tempo, zerar as linhas correspondentes às máquinas próprias, como será especificado adiante. </t>
  </si>
  <si>
    <t xml:space="preserve"> O óleo diesel deve ser incluído no item “insumos” e, portanto, dentro de custos variáveis, somando-se todas as operações (aração, gradagem, etc) com máquinas próprias. Para o exemplo desta planilha, foram 7,5 horas/ha de trator, com um consumo de 9 litros/hora de diesel por hora, totalizando 67,5 litros/ha (linha 24). Foram gastas também 4,5 horas/ha  com o TAI (Trator para Aplicação de Insumos), conhecido popularmente por “chupa cabra”, com um consumo de 4,5 litros/hora, totalizando 20,25 litros/ha (linha 27). E mais 1,7 horas/ha com a automotriz, com um consumo de 11 litros/hora, totalizando 18,70 litros/ha (linha  30). Os demais insumos (óleo lubrificante, diversos tipos de filtros, etc) foram estimados, simplificadamente, em 15% do custo com óleo diesel. Quando uma certa máquina é alugada a linha a correspondente a esta máquina (linhas 24, 27 e 30, respectivamente para trator, TAI e automotriz) deve ser zerada.   </t>
  </si>
  <si>
    <t xml:space="preserve">O salário (e encargos) do operador do trator, do TAI e da automotriz deve ser incluído no item “mão-de-obra” e, portanto, dentro de custos variáveis, mesmo que se trate de mão-de-obra própria. Nesta planilha foram consideradas 7,5 horas para o trator e 4,5 horas para o TAI (linhas 46 e 48, respectivamente). Para a automotriz (linha 50) a coluna da “quantidade” está zerada porque se considera que a colheita é alugada (mesmo aconteceria se o trator ou o TAI fossem alugados). Se ela fosse própria esta coluna seria preenchida com as 1,7 horas/ha necessárias para colher um hectare. Para o cálculo do custo/hora considera-se 176 horas por mês, 2,0 salários mínimos de remuneração, com acréscimo de 75% como encargos sociais.      </t>
  </si>
  <si>
    <r>
      <t xml:space="preserve"> O conserto e manutenção das máquinas próprias devem ser incluídos em “outros custos variáveis”. O custo/hora ele é calculado como 7% ao ano do valor do novo, tanto para o trator (linha 75) como para o TAI (linha 76) e automotriz (linha 78), dividido pelo número de horas trabalhadas por ano. No exemplo desta planilha, considerou-se 1.000 horas trabalhadas por ano para o trator e TAI ( linhas 128 e 132) e 400 horas para a automotriz (linha 136). O usuário deve entrar com valor mais apropriado para o seu caso.  Quando uma máquina (trator, TAI ou automotriz) for alugada deve-se zerar estas linhas e incluir somente o valor do aluguel nas linhas 53 a 60.</t>
    </r>
    <r>
      <rPr>
        <sz val="14"/>
        <color indexed="10"/>
        <rFont val="Arial"/>
        <family val="2"/>
      </rPr>
      <t xml:space="preserve"> </t>
    </r>
  </si>
  <si>
    <t xml:space="preserve"> A depreciação, o seguro e os juros sobre o capital das máquinas próprias devem ser incluídos em “outros custos fixos” (linhas 96 a 123), incluindo-se o trator e seus implementos (linhas 97 a 108), o TAI e seus implementos (linhas 109 a 117) e a automotriz  (linhas 118 a 123). A depreciação das máquinas próprias é calculada pela subtração do valor do bem quando novo menos o valor de sucata e dividindo-se pelo número de horas trabalhadas em toda a vida útil, considerada como 10.000 (1.000 horas/ano x 10 anos), tanto para o trator como para o TAI. O seguro é calculado como 1% sobre o valor médio entre o valor do novo e o valor de sucata e dividido por 1.000 horas anuais trabalhadas. Quando uma máquina (trator, TAI ou automotriz) for alugada deve-se zerar estas linhas e incluir somente o valor do aluguel nas linhas 53 a 60.</t>
  </si>
  <si>
    <t>O uso médio anual do trator, do TAI e da automotriz são informações com grande impacto no custo da hora-máquina própria.  Quanto maior o uso anual menor será o custo. Por isso, é importante estimar esta informação com bastante cuidado. O usuário deve fazer, cuidadosamente, a estimativa para o seu próprio caso já que estes valores de vida número de horas/ano e de vida útil podem ser alterados pelo usuário (linhas 127/128, 131/132 e 135/136 para  trator, TAI e automotriz, respectivamente ).</t>
  </si>
  <si>
    <t xml:space="preserve"> Quanto ao custo dos implementos do trator, já que são muitos implementos, sugere-se consultar custos da Epagri/Cepa www.epagri.sc.gov.br, que são atualizados trimestralmente em fevereiro, maio, agosto e novembro. Clique nesta sequência: Mercado Agrícola (bem ao final da página, dentro de “serviços”), Custo de Produção, Implementos Agrícolas. Multiplique o custo/hora de cada implemento utilizado pelo número de horas trabalhadas e faça a soma do custo/hora de todos os implementos utilizados.</t>
  </si>
  <si>
    <t xml:space="preserve"> A grande diferença entre o cálculo com máquina alugada ou própria é que quando os recursos são próprios os custos fixos são mais altos e os variáveis mais baixos, o que tem uma grande implicação no gerenciamento da atividade. Quando a máquina é arrendada todo o seu custo deve ser coberto com recursos da própria safra, por se tratar de custo variável. Já quando a máquina é própria, os custos da depreciação, do seguro e dos juros sobre o capital não precisam ser cobertos na própria safra. Eles podem ser cobertos em safras futuras.  É importante lembrar que se deve ter cuidado para não incluir uma mesma máquina como própria e, ao mesmo tempo, como alugada. </t>
  </si>
  <si>
    <t xml:space="preserve">Não são feitos comentários sobre muitos itens da planilha porque se imagina que a explicação contida na coluna “especificação” da respectiva linha que contém o item em questão já seja suficiente para o entendimento, tanto com relação ao preenchimento como ao modo de cálculo ou à questão econômica envolvida. </t>
  </si>
  <si>
    <r>
      <t>Os resultados econômicos (custo total, custo fixo, custo variável, receita, margem bruta e lucro) são apresentados por hectare (linhas 168 a 171) e por saco (linhas 173 a 175).  Complementarmente, são calculados o custo operacional e o custo não operacional,que às vezes são encontrados na literatura. E</t>
    </r>
    <r>
      <rPr>
        <sz val="8"/>
        <color indexed="8"/>
        <rFont val="Arial"/>
        <family val="2"/>
      </rPr>
      <t>ste custo expressa o pagamento pelo uso dos recursos próprios do produtor e que muitos produtores o chamam de lucro.</t>
    </r>
    <r>
      <rPr>
        <b/>
        <sz val="8"/>
        <color indexed="10"/>
        <rFont val="Arial"/>
        <family val="2"/>
      </rPr>
      <t xml:space="preserve"> </t>
    </r>
    <r>
      <rPr>
        <sz val="8"/>
        <rFont val="Arial"/>
        <family val="2"/>
      </rPr>
      <t>No exemplo desta planilha o custo não operacional participa com, aproximadamente, de 30% do custo no sistema pré-germinado e 27% do custo no sistema de semeadura em solo seco.</t>
    </r>
    <r>
      <rPr>
        <b/>
        <sz val="8"/>
        <color indexed="10"/>
        <rFont val="Arial"/>
        <family val="2"/>
      </rPr>
      <t xml:space="preserve"> </t>
    </r>
    <r>
      <rPr>
        <sz val="8"/>
        <color indexed="10"/>
        <rFont val="Arial"/>
        <family val="2"/>
      </rPr>
      <t xml:space="preserve"> </t>
    </r>
    <r>
      <rPr>
        <sz val="8"/>
        <color indexed="8"/>
        <rFont val="Arial"/>
        <family val="2"/>
      </rPr>
      <t>No final é</t>
    </r>
    <r>
      <rPr>
        <sz val="8"/>
        <rFont val="Arial"/>
        <family val="2"/>
      </rPr>
      <t xml:space="preserve"> calculada a participação percentual dos principais itens de custo (insumos, mão de obra, mecanização, juros sobre a terra, e custo da colheita) na formação do custo total (linhas 180 a 187). </t>
    </r>
  </si>
  <si>
    <t>Por fim, reitera-se que as planilhas (sistema pré-germinado e semeadura em solo seco) referem-se ao caso em que o produtor é proprietário da terra, do trator (e outras máquinas, mais implementos), só a colheita é arrendada, mas elas também podem ser utilizadas para terra arrendada, máquinas alugadas e colheita própria, bastando preencher nas linhas em que a situação se aplica e zerar nas linhas em que a situação não se aplica, conforme indicado ao longo deste texto.</t>
  </si>
  <si>
    <t>Interpretação econômica da planilha e seu uso prático</t>
  </si>
  <si>
    <t xml:space="preserve">Em uma visão de longo prazo </t>
  </si>
  <si>
    <r>
      <t xml:space="preserve"> O resultado econômico final da atividade aparece no lucro (linha 171), que pode ser positivo ou negativo, sendo este também conhecido como prejuízo. O conceito</t>
    </r>
    <r>
      <rPr>
        <sz val="8"/>
        <color indexed="10"/>
        <rFont val="Arial"/>
        <family val="2"/>
      </rPr>
      <t xml:space="preserve"> </t>
    </r>
    <r>
      <rPr>
        <sz val="8"/>
        <rFont val="Arial"/>
        <family val="2"/>
      </rPr>
      <t xml:space="preserve">de lucro está associado ao “longo prazo”.  É obtido subtraindo-se da receita bruta os custos variáveis e os custos fixos. A interpretação econômica do lucro é a seguinte: </t>
    </r>
  </si>
  <si>
    <r>
      <t xml:space="preserve">Somente com base na planilha não será possível avaliar se a produtividade conseguirá ou não se manter acima de 132 sc/ha quando se reduz o uso de fertilizante e defensivos pela metade. A planilha contribui para fornecer ao técnico este parâmetro de decisão, que é o limite máximo de queda na produtividade para que esta economia de insumos seja vantajosa. A decisão cabe ao técnico. Agora, o </t>
    </r>
    <r>
      <rPr>
        <sz val="8"/>
        <color indexed="8"/>
        <rFont val="Arial"/>
        <family val="2"/>
      </rPr>
      <t>que não necessita de avaliação técnica e nem de uma simulação através da planilha, mas é, com certeza, a melhor maneira de se conseguir baixar o custo unitário (custo/saco) é produtor seguir rigorosamente as recomendações técnicas. Há casos de compra de insumos apenas com a “recomendação” das agropecuárias que os vendem. Em termos de planilha, o gasto com um insumo mal aplicado (quanto ao tipo ou quanto à dose) implicará num acréscimo de custo da lavoura (custo/ha) sem que haja um correspondente acréscimo na produtividade e o resultado, obviamente, será um acréscimo no custo por saco.</t>
    </r>
  </si>
  <si>
    <t>Em uma visão de curto prazo</t>
  </si>
  <si>
    <t xml:space="preserve"> No conceito de “curto prazo” (geralmente se trata de uma safra), a margem bruta (linha 170) é o dado que define pela continuidade ou não na atividade. O custo variável por saco (linha 173) indica, ao mesmo tempo, qual o preço necessário para que a atividade se sustente economicamente no conceito de “curto prazo”, para a produtividade considerada, ou seja, para que a atividade consiga pagar os custos da própria safra, sem considerar os custos relativos à infraestrutura (custos fixos). </t>
  </si>
  <si>
    <r>
      <t xml:space="preserve"> Para uma produtividade de 150,60 sc/ha (50 kg) e um preço de R$ 28,60 por saco  considerados na planilha, a margem bruta foi positiva em R$  1.436,56 por hectare, significando que a curto prazo a atividade deve continuar. O custo variável por saco é de R$ 19,06, significando que este é o preço necessário para que a atividade continue no</t>
    </r>
    <r>
      <rPr>
        <sz val="8"/>
        <color indexed="10"/>
        <rFont val="Arial"/>
        <family val="2"/>
      </rPr>
      <t xml:space="preserve"> </t>
    </r>
    <r>
      <rPr>
        <sz val="8"/>
        <rFont val="Arial"/>
        <family val="2"/>
      </rPr>
      <t xml:space="preserve">conceito de “curto prazo”, para uma produtividade de 150,60 sacos por hectare. Para o preço considerado (R$ 28,60), a produtividade necessária para que a atividade se sustente economicamente, no conceito de “curto prazo”, isto é, quando o preço cobre o custo variável, é de 90,00 sc/ha.   </t>
    </r>
  </si>
  <si>
    <t>Na visão de “curto prazo”, o usuário também pode fazer muitas outras simulações com a produtividade e o preço, da mesma forma como foi descrita na de longo prazo.</t>
  </si>
  <si>
    <t>Acesso à planilha e atualização do custo</t>
  </si>
  <si>
    <t>Para baixar a planilha eletrônica automatizada, acesse o link: http://cepa.epagri.sc.gov.br/agroindicadores/custos/custo10/Arroz.xls.</t>
  </si>
  <si>
    <t xml:space="preserve">O custo pode ser atualizado trimestralmente, com preços de Santa Catarina, acessando o seguinte endereço eletrônico: www.epagri.sc.gov.br. A Epagri/Cepa tem acompanhado, trimestralmente (nos meses de fevereiro, maio, agosto e novembro), os preços pagos pelos principais insumos e serviços da agricultura catarinense. O procedimento para a atualização do custo é o seguinte: 1) No menu “serviços” (final da página) clicar em “mercado agrícola”, que abrirá a página da Epagri/Cepa. 2) Nesta página selecionar a opção “preços” e, dentro do menu “Levantamento trimestral de preços”, clicar em “preço médio regional” e, na coluna da região de referência e procurar os itens de preço de interesse. </t>
  </si>
  <si>
    <r>
      <rPr>
        <b/>
        <sz val="8"/>
        <rFont val="Arial"/>
        <family val="2"/>
      </rPr>
      <t>a.1)</t>
    </r>
    <r>
      <rPr>
        <sz val="8"/>
        <rFont val="Arial"/>
        <family val="2"/>
      </rPr>
      <t xml:space="preserve"> Se o lucro for positivo, diz-se que a atividade obteve um lucro acima do normal, uma vez que ela conseguiu uma remuneração para os recursos próprios (podendo ser a terra, o capital e a mão-de-obra) acima da que foi estimada no custo. A atividade não só é economicamente sustentável  no conceito de “longo prazo”, como também tem condições de crescer.</t>
    </r>
  </si>
  <si>
    <r>
      <rPr>
        <b/>
        <sz val="8"/>
        <rFont val="Arial"/>
        <family val="2"/>
      </rPr>
      <t>a.2)</t>
    </r>
    <r>
      <rPr>
        <sz val="8"/>
        <rFont val="Arial"/>
        <family val="2"/>
      </rPr>
      <t xml:space="preserve"> Se o lucro for negativo, significa que a atividade não se sustenta economicamente  no conceito de “longo prazo”, o que não implica, necessariamente, no abandono imediato da atividade a curto prazo, ou seja, na safra que está sendo planejada ou que está em andamento. Tudo vai depender da margem bruta (linha 170), que deverá ser positiva para que a atividade continue. </t>
    </r>
  </si>
  <si>
    <r>
      <rPr>
        <b/>
        <sz val="8"/>
        <rFont val="Arial"/>
        <family val="2"/>
      </rPr>
      <t>a.3)</t>
    </r>
    <r>
      <rPr>
        <sz val="8"/>
        <rFont val="Arial"/>
        <family val="2"/>
      </rPr>
      <t xml:space="preserve"> Se o lucro for zero, significa que a atividade obteve uma remuneração normal para os recursos próprios que o produtor empregou. O lucro zero não significa que o produtor trabalhou de graça, como poderia parecer. Um valor nulo (ou positivo) para o lucro indica a possibilidade de crescimento da atividade (ou da empresa), uma vez que esse valor inclui a remuneração dos recursos próprios utilizados e é essa remuneração que permite financiar o crescimento.</t>
    </r>
  </si>
  <si>
    <t xml:space="preserve">        Para a produtividade da safra catarinense de 2011/12, de 150,60 sc/ha (50 kg), com semeadura em solo seco, e um preço médio anual de R$ 28,60 por saco  (linhas 165 e 166) o custo foi de R$ 4.791,86 por hectare (R$ 31,82/saco) e um prejuízo de R$ 484,70 por hectare (R$  3,22 por saco), significando que com este preço a atividade não é  economicamente sustentável a longo prazo. Seria necessário que o preço subisse para R$ 32,65, onde o custo por saco se igualaria ao preço, para a produtividade de 150,60 sacos por hectare.  Ou, então, que a produtividade aumente para 171,50 sacos/ha, com o preço mantido em R$ 28,60, onde o preço também se igualaria ao custo por saco. Embora a atividade não se sustente no conceito de “longo prazo”, para um preço de R$ 28,60 e uma produtividade de 150,60 sacos, isto não implica, necessariamente, que o produtor de abandonar imediatamente a atividade. Mas para que ele permaneça nela é necessário que a margem bruta seja positiva (ver item “Em uma visão de curto prazo” logo adiante).</t>
  </si>
  <si>
    <r>
      <t xml:space="preserve">        A planilha permite muitas outras possibilidades de simulação, dependendo da criatividade do usuário e de seu conhecimento técnico para fazer uso prático desta ferramenta.</t>
    </r>
    <r>
      <rPr>
        <sz val="8"/>
        <color indexed="10"/>
        <rFont val="Arial"/>
        <family val="2"/>
      </rPr>
      <t xml:space="preserve"> </t>
    </r>
    <r>
      <rPr>
        <sz val="8"/>
        <rFont val="Arial"/>
        <family val="2"/>
      </rPr>
      <t xml:space="preserve">A título de exemplo de outras simulações úteis, suponha-se que o produtor esteja pensando em reduzir o uso de fertilizantes e defensivos, como resposta a uma queda no preço do arroz.  Para saber se esse poderia ser um caminho economicamente viável, uma simulação pode ser feita para que ela defina os parâmetros para subsidiar o produtor nesta tomada de decisão. Obviamente que a redução no uso de fertilizantes e defensivos pela metade reduz expressivamente o custo da lavoura (custo/ha), mas não necessariamente o custo por saco por causa da queda na produtividade. A simulação aponta que o custo/sc só cairá (e o lucro aumentará) com esta prática se a produtividade se mantiver acima de 132 sacos/ha, onde o custo/sc empata (em R$ 31,800) com o obtido com a produtividade de 150,60 sc/ha, na situação em que não há a redução de fertilizante. Do contrário, haverá perdas. </t>
    </r>
  </si>
  <si>
    <t xml:space="preserve">  - Outros</t>
  </si>
  <si>
    <t>Este texto foi adaptado da publicação “Arroz irrigado: recomendações técnicas da pesquisa para o Sul do Brasil”, Capítulo 15 (Gerenciamento da atividade orizícola), da Sociedade Sul-Brasileira de Arroz Irrigado, publicado em 2012.</t>
  </si>
  <si>
    <t>publicado em 2012.</t>
  </si>
  <si>
    <t xml:space="preserve">CV+deprec.+juros  e seguro s/ máquinas </t>
  </si>
  <si>
    <t xml:space="preserve">Considera-se uma  produtividade de 137,7 sc/ha (6.885 kg/ha, a produtividade da safra 2012/13)  e plantio pré-germinado. </t>
  </si>
  <si>
    <t>10 % renda bruta (produção x preço)</t>
  </si>
  <si>
    <t xml:space="preserve">     - Renivelamento/alisamento</t>
  </si>
  <si>
    <t xml:space="preserve">Óleo diesel para trator </t>
  </si>
  <si>
    <t xml:space="preserve">Outros insumos para trator </t>
  </si>
  <si>
    <t>Óleo diesel para o TAI (TRATOR</t>
  </si>
  <si>
    <t xml:space="preserve">Outros insumos para o TAI </t>
  </si>
  <si>
    <t>Óleo diesel para automotriz</t>
  </si>
  <si>
    <t>PARA APLICAÇÃO INSUMOS)</t>
  </si>
  <si>
    <t>Outros insumos para automotriz</t>
  </si>
  <si>
    <t xml:space="preserve">Salário + encargos Operador Trator </t>
  </si>
  <si>
    <t>Salário + encargos Oper. Automotriz</t>
  </si>
  <si>
    <t xml:space="preserve">Salário + encargos Operador TAI </t>
  </si>
  <si>
    <r>
      <t xml:space="preserve">3 - Serviços  Mecânicos </t>
    </r>
    <r>
      <rPr>
        <b/>
        <u/>
        <sz val="8"/>
        <color indexed="10"/>
        <rFont val="Arial MT"/>
      </rPr>
      <t>ALUGADOS</t>
    </r>
  </si>
  <si>
    <t xml:space="preserve">Transporte externo/Secagem </t>
  </si>
  <si>
    <t>9 - Outros Custos Variáveis</t>
  </si>
  <si>
    <t>Conserto e manutenção do trator</t>
  </si>
  <si>
    <t>Conserto e manutenção do TAI</t>
  </si>
  <si>
    <t>Conserto e manutenção Automotriz</t>
  </si>
  <si>
    <t xml:space="preserve">1 - Manutenção de benfeitorias </t>
  </si>
  <si>
    <t>2 - Depreciação de benfeitorias</t>
  </si>
  <si>
    <t>4 - Remuneração do capital fixo</t>
  </si>
  <si>
    <t>Juros sobre o capital)</t>
  </si>
  <si>
    <t>TAI (trator para aplicar insumos)</t>
  </si>
  <si>
    <r>
      <rPr>
        <b/>
        <sz val="8"/>
        <rFont val="Arial MT"/>
      </rPr>
      <t>Trator</t>
    </r>
    <r>
      <rPr>
        <sz val="8"/>
        <rFont val="Arial MT"/>
      </rPr>
      <t xml:space="preserve"> com pneu - 75 CV</t>
    </r>
  </si>
  <si>
    <t>Trator com pneu - Valor sucata</t>
  </si>
  <si>
    <t xml:space="preserve">   -Consumo diesel para TRATOR</t>
  </si>
  <si>
    <t>Custo serviços mecânicos próprios</t>
  </si>
  <si>
    <t xml:space="preserve"> 7,5 h/ha x 9 litros/h (linhas 154, 155) </t>
  </si>
  <si>
    <t xml:space="preserve"> 7,5 h/ha x 9 litros/h (linhas 163, 164) </t>
  </si>
  <si>
    <t>Colheita: 1,7 h/ha x 11 litros/h (lin. 166, 167)</t>
  </si>
  <si>
    <t>0,5% sobre valor da terra  (linha 170)</t>
  </si>
  <si>
    <t>3% sobre valor terra (linha 170)</t>
  </si>
  <si>
    <t xml:space="preserve"> 7,5 h/ha x 9 litros/h (linhas 164,165) </t>
  </si>
  <si>
    <t>Colheita: 1,7 h/ha X 11 l/h (lin. 167,168)</t>
  </si>
  <si>
    <t>0,5% sobre valor da terra  (linha 171)</t>
  </si>
  <si>
    <t>3% sobre valor terra (linha 171)</t>
  </si>
  <si>
    <t xml:space="preserve">Custo operacional </t>
  </si>
  <si>
    <t>(Pago a terceiros)</t>
  </si>
  <si>
    <t>(Pago a si próprio)</t>
  </si>
  <si>
    <t xml:space="preserve">     TOMADA DE DECISÃO</t>
  </si>
  <si>
    <t xml:space="preserve">Tabela - Planilha de custo de produção do arroz irrigado para Santa Catarina, a preços de AGOSTO/2013. </t>
  </si>
</sst>
</file>

<file path=xl/styles.xml><?xml version="1.0" encoding="utf-8"?>
<styleSheet xmlns="http://schemas.openxmlformats.org/spreadsheetml/2006/main">
  <numFmts count="5">
    <numFmt numFmtId="43" formatCode="_(* #,##0.00_);_(* \(#,##0.00\);_(* &quot;-&quot;??_);_(@_)"/>
    <numFmt numFmtId="164" formatCode="_-* #,##0.00_-;\-* #,##0.00_-;_-* &quot;-&quot;??_-;_-@_-"/>
    <numFmt numFmtId="165" formatCode="0.0"/>
    <numFmt numFmtId="166" formatCode="_(* #,##0.0_);_(* \(#,##0.0\);_(* &quot;-&quot;??_);_(@_)"/>
    <numFmt numFmtId="167" formatCode="_(* #,##0_);_(* \(#,##0\);_(* &quot;-&quot;??_);_(@_)"/>
  </numFmts>
  <fonts count="42">
    <font>
      <sz val="12"/>
      <name val="Arial MT"/>
    </font>
    <font>
      <sz val="10"/>
      <name val="Arial"/>
      <family val="2"/>
    </font>
    <font>
      <sz val="10"/>
      <name val="Arial MT"/>
    </font>
    <font>
      <b/>
      <sz val="10"/>
      <name val="Arial MT"/>
    </font>
    <font>
      <b/>
      <sz val="10"/>
      <name val="Arial"/>
      <family val="2"/>
    </font>
    <font>
      <sz val="12"/>
      <name val="Arial"/>
      <family val="2"/>
    </font>
    <font>
      <b/>
      <sz val="12"/>
      <name val="Arial"/>
      <family val="2"/>
    </font>
    <font>
      <b/>
      <sz val="12"/>
      <color indexed="10"/>
      <name val="Arial"/>
      <family val="2"/>
    </font>
    <font>
      <b/>
      <i/>
      <sz val="12"/>
      <name val="Arial"/>
      <family val="2"/>
    </font>
    <font>
      <sz val="12"/>
      <color indexed="10"/>
      <name val="Arial"/>
      <family val="2"/>
    </font>
    <font>
      <b/>
      <u/>
      <sz val="12"/>
      <name val="Arial"/>
      <family val="2"/>
    </font>
    <font>
      <u/>
      <sz val="12"/>
      <name val="Arial"/>
      <family val="2"/>
    </font>
    <font>
      <sz val="8"/>
      <color indexed="10"/>
      <name val="Arial"/>
      <family val="2"/>
    </font>
    <font>
      <sz val="8"/>
      <name val="Arial MT"/>
    </font>
    <font>
      <i/>
      <sz val="8"/>
      <name val="Arial MT"/>
    </font>
    <font>
      <b/>
      <sz val="8"/>
      <name val="Arial MT"/>
    </font>
    <font>
      <b/>
      <sz val="12"/>
      <name val="Arial MT"/>
    </font>
    <font>
      <i/>
      <sz val="10"/>
      <name val="Arial MT"/>
    </font>
    <font>
      <b/>
      <sz val="14"/>
      <name val="Arial MT"/>
    </font>
    <font>
      <sz val="8"/>
      <color indexed="10"/>
      <name val="Arial MT"/>
    </font>
    <font>
      <sz val="8"/>
      <name val="Arial"/>
      <family val="2"/>
    </font>
    <font>
      <b/>
      <sz val="8"/>
      <name val="Arial"/>
      <family val="2"/>
    </font>
    <font>
      <b/>
      <u/>
      <sz val="10"/>
      <name val="Arial MT"/>
    </font>
    <font>
      <b/>
      <sz val="10"/>
      <color indexed="10"/>
      <name val="Arial MT"/>
    </font>
    <font>
      <sz val="10"/>
      <name val="Times New Roman"/>
      <family val="1"/>
    </font>
    <font>
      <b/>
      <sz val="10"/>
      <name val="Times New Roman"/>
      <family val="1"/>
    </font>
    <font>
      <b/>
      <sz val="9"/>
      <name val="Arial"/>
      <family val="2"/>
    </font>
    <font>
      <sz val="14"/>
      <color indexed="10"/>
      <name val="Arial"/>
      <family val="2"/>
    </font>
    <font>
      <sz val="8"/>
      <color indexed="8"/>
      <name val="Arial"/>
      <family val="2"/>
    </font>
    <font>
      <b/>
      <sz val="8"/>
      <color indexed="10"/>
      <name val="Arial"/>
      <family val="2"/>
    </font>
    <font>
      <b/>
      <u/>
      <sz val="8"/>
      <color indexed="10"/>
      <name val="Arial MT"/>
    </font>
    <font>
      <sz val="10"/>
      <color rgb="FFFF0000"/>
      <name val="Arial MT"/>
    </font>
    <font>
      <sz val="8"/>
      <color rgb="FFFF0000"/>
      <name val="Arial MT"/>
    </font>
    <font>
      <b/>
      <sz val="8"/>
      <color rgb="FFFF0000"/>
      <name val="Arial MT"/>
    </font>
    <font>
      <b/>
      <sz val="10"/>
      <color rgb="FFFF0000"/>
      <name val="Arial MT"/>
    </font>
    <font>
      <b/>
      <sz val="12"/>
      <color rgb="FFFF0000"/>
      <name val="Arial MT"/>
    </font>
    <font>
      <b/>
      <sz val="8"/>
      <color rgb="FF0070C0"/>
      <name val="Arial MT"/>
    </font>
    <font>
      <b/>
      <sz val="10"/>
      <color rgb="FFFF0000"/>
      <name val="Times New Roman"/>
      <family val="1"/>
    </font>
    <font>
      <sz val="8"/>
      <color rgb="FFFF0000"/>
      <name val="Arial"/>
      <family val="2"/>
    </font>
    <font>
      <b/>
      <sz val="10"/>
      <color theme="1"/>
      <name val="Times New Roman"/>
      <family val="1"/>
    </font>
    <font>
      <b/>
      <sz val="8"/>
      <color rgb="FFC00000"/>
      <name val="Arial MT"/>
    </font>
    <font>
      <b/>
      <sz val="11"/>
      <color rgb="FFC00000"/>
      <name val="Arial MT"/>
    </font>
  </fonts>
  <fills count="9">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theme="6" tint="0.59999389629810485"/>
        <bgColor indexed="64"/>
      </patternFill>
    </fill>
    <fill>
      <patternFill patternType="solid">
        <fgColor rgb="FF92D050"/>
        <bgColor indexed="64"/>
      </patternFill>
    </fill>
    <fill>
      <patternFill patternType="solid">
        <fgColor theme="0"/>
        <bgColor indexed="64"/>
      </patternFill>
    </fill>
    <fill>
      <patternFill patternType="solid">
        <fgColor rgb="FFFFFF00"/>
        <bgColor indexed="64"/>
      </patternFill>
    </fill>
    <fill>
      <patternFill patternType="solid">
        <fgColor rgb="FFFFC000"/>
        <bgColor indexed="64"/>
      </patternFill>
    </fill>
  </fills>
  <borders count="27">
    <border>
      <left/>
      <right/>
      <top/>
      <bottom/>
      <diagonal/>
    </border>
    <border>
      <left style="thin">
        <color indexed="64"/>
      </left>
      <right style="thin">
        <color indexed="64"/>
      </right>
      <top/>
      <bottom/>
      <diagonal/>
    </border>
    <border>
      <left style="thick">
        <color indexed="64"/>
      </left>
      <right style="thin">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dotted">
        <color indexed="64"/>
      </bottom>
      <diagonal/>
    </border>
    <border>
      <left style="thin">
        <color indexed="64"/>
      </left>
      <right style="thin">
        <color indexed="64"/>
      </right>
      <top style="dotted">
        <color indexed="64"/>
      </top>
      <bottom style="dotted">
        <color indexed="64"/>
      </bottom>
      <diagonal/>
    </border>
    <border>
      <left style="thick">
        <color indexed="64"/>
      </left>
      <right style="thin">
        <color indexed="64"/>
      </right>
      <top style="dotted">
        <color indexed="64"/>
      </top>
      <bottom style="dotted">
        <color indexed="64"/>
      </bottom>
      <diagonal/>
    </border>
    <border>
      <left style="thick">
        <color indexed="64"/>
      </left>
      <right style="thick">
        <color indexed="64"/>
      </right>
      <top style="thick">
        <color indexed="64"/>
      </top>
      <bottom/>
      <diagonal/>
    </border>
    <border>
      <left style="thick">
        <color indexed="64"/>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style="dotted">
        <color indexed="64"/>
      </top>
      <bottom/>
      <diagonal/>
    </border>
    <border>
      <left style="thick">
        <color indexed="64"/>
      </left>
      <right style="thin">
        <color indexed="64"/>
      </right>
      <top style="dotted">
        <color indexed="64"/>
      </top>
      <bottom style="thick">
        <color indexed="64"/>
      </bottom>
      <diagonal/>
    </border>
    <border>
      <left style="thin">
        <color indexed="64"/>
      </left>
      <right style="thin">
        <color indexed="64"/>
      </right>
      <top style="thick">
        <color indexed="64"/>
      </top>
      <bottom style="medium">
        <color indexed="64"/>
      </bottom>
      <diagonal/>
    </border>
    <border>
      <left style="thin">
        <color indexed="64"/>
      </left>
      <right style="thick">
        <color indexed="64"/>
      </right>
      <top style="thick">
        <color indexed="64"/>
      </top>
      <bottom style="medium">
        <color indexed="64"/>
      </bottom>
      <diagonal/>
    </border>
    <border>
      <left style="thin">
        <color indexed="64"/>
      </left>
      <right style="thick">
        <color indexed="64"/>
      </right>
      <top/>
      <bottom/>
      <diagonal/>
    </border>
    <border>
      <left style="thick">
        <color indexed="64"/>
      </left>
      <right style="thin">
        <color indexed="64"/>
      </right>
      <top style="thick">
        <color indexed="64"/>
      </top>
      <bottom style="medium">
        <color indexed="64"/>
      </bottom>
      <diagonal/>
    </border>
    <border>
      <left style="thin">
        <color indexed="64"/>
      </left>
      <right style="thick">
        <color indexed="64"/>
      </right>
      <top style="dotted">
        <color indexed="64"/>
      </top>
      <bottom style="dotted">
        <color indexed="64"/>
      </bottom>
      <diagonal/>
    </border>
    <border>
      <left style="thin">
        <color indexed="64"/>
      </left>
      <right style="thin">
        <color indexed="64"/>
      </right>
      <top/>
      <bottom style="dotted">
        <color indexed="64"/>
      </bottom>
      <diagonal/>
    </border>
    <border>
      <left style="thin">
        <color indexed="64"/>
      </left>
      <right style="thick">
        <color indexed="64"/>
      </right>
      <top/>
      <bottom style="dotted">
        <color indexed="64"/>
      </bottom>
      <diagonal/>
    </border>
    <border>
      <left style="thin">
        <color indexed="64"/>
      </left>
      <right style="thin">
        <color indexed="64"/>
      </right>
      <top style="dotted">
        <color indexed="64"/>
      </top>
      <bottom/>
      <diagonal/>
    </border>
    <border>
      <left style="thin">
        <color indexed="64"/>
      </left>
      <right style="thin">
        <color indexed="64"/>
      </right>
      <top style="thick">
        <color indexed="64"/>
      </top>
      <bottom/>
      <diagonal/>
    </border>
    <border>
      <left style="thin">
        <color indexed="64"/>
      </left>
      <right style="thick">
        <color indexed="64"/>
      </right>
      <top style="thick">
        <color indexed="64"/>
      </top>
      <bottom/>
      <diagonal/>
    </border>
    <border>
      <left style="thin">
        <color indexed="64"/>
      </left>
      <right/>
      <top style="dotted">
        <color indexed="64"/>
      </top>
      <bottom style="dotted">
        <color indexed="64"/>
      </bottom>
      <diagonal/>
    </border>
    <border>
      <left style="thin">
        <color indexed="64"/>
      </left>
      <right style="thin">
        <color indexed="64"/>
      </right>
      <top style="dotted">
        <color indexed="64"/>
      </top>
      <bottom style="thick">
        <color indexed="64"/>
      </bottom>
      <diagonal/>
    </border>
    <border>
      <left style="thin">
        <color indexed="64"/>
      </left>
      <right/>
      <top/>
      <bottom style="dotted">
        <color indexed="64"/>
      </bottom>
      <diagonal/>
    </border>
    <border>
      <left style="thin">
        <color indexed="64"/>
      </left>
      <right style="thick">
        <color indexed="64"/>
      </right>
      <top style="dotted">
        <color indexed="64"/>
      </top>
      <bottom style="thick">
        <color indexed="64"/>
      </bottom>
      <diagonal/>
    </border>
    <border>
      <left style="thin">
        <color indexed="64"/>
      </left>
      <right/>
      <top style="dotted">
        <color indexed="64"/>
      </top>
      <bottom style="thick">
        <color indexed="64"/>
      </bottom>
      <diagonal/>
    </border>
  </borders>
  <cellStyleXfs count="3">
    <xf numFmtId="0" fontId="0" fillId="0" borderId="0"/>
    <xf numFmtId="9" fontId="1" fillId="0" borderId="0" applyFont="0" applyFill="0" applyBorder="0" applyAlignment="0" applyProtection="0"/>
    <xf numFmtId="43" fontId="1" fillId="0" borderId="0" applyFont="0" applyFill="0" applyBorder="0" applyAlignment="0" applyProtection="0"/>
  </cellStyleXfs>
  <cellXfs count="348">
    <xf numFmtId="0" fontId="0" fillId="0" borderId="0" xfId="0"/>
    <xf numFmtId="0" fontId="2" fillId="0" borderId="0" xfId="0" applyFont="1"/>
    <xf numFmtId="0" fontId="2" fillId="0" borderId="0" xfId="0" applyFont="1" applyAlignment="1">
      <alignment horizontal="fill"/>
    </xf>
    <xf numFmtId="43" fontId="2" fillId="0" borderId="0" xfId="2" applyFont="1" applyAlignment="1" applyProtection="1">
      <alignment horizontal="fill"/>
    </xf>
    <xf numFmtId="43" fontId="2" fillId="0" borderId="0" xfId="2" applyFont="1"/>
    <xf numFmtId="0" fontId="2" fillId="0" borderId="0" xfId="0" applyFont="1" applyAlignment="1">
      <alignment horizontal="fill" wrapText="1"/>
    </xf>
    <xf numFmtId="0" fontId="2" fillId="4" borderId="1" xfId="0" applyFont="1" applyFill="1" applyBorder="1" applyAlignment="1">
      <alignment horizontal="left"/>
    </xf>
    <xf numFmtId="0" fontId="3" fillId="4" borderId="2" xfId="0" applyFont="1" applyFill="1" applyBorder="1" applyAlignment="1">
      <alignment horizontal="left"/>
    </xf>
    <xf numFmtId="0" fontId="3" fillId="4" borderId="3" xfId="0" applyFont="1" applyFill="1" applyBorder="1" applyAlignment="1">
      <alignment horizontal="left"/>
    </xf>
    <xf numFmtId="0" fontId="3" fillId="4" borderId="4" xfId="0" applyFont="1" applyFill="1" applyBorder="1" applyAlignment="1">
      <alignment horizontal="left"/>
    </xf>
    <xf numFmtId="0" fontId="2" fillId="4" borderId="5" xfId="0" applyFont="1" applyFill="1" applyBorder="1" applyAlignment="1">
      <alignment horizontal="left"/>
    </xf>
    <xf numFmtId="0" fontId="3" fillId="4" borderId="6" xfId="0" applyFont="1" applyFill="1" applyBorder="1" applyAlignment="1">
      <alignment horizontal="left"/>
    </xf>
    <xf numFmtId="0" fontId="2" fillId="4" borderId="6" xfId="0" applyFont="1" applyFill="1" applyBorder="1" applyAlignment="1">
      <alignment horizontal="left"/>
    </xf>
    <xf numFmtId="43" fontId="0" fillId="0" borderId="0" xfId="0" applyNumberFormat="1"/>
    <xf numFmtId="0" fontId="4" fillId="5" borderId="7" xfId="0" applyFont="1" applyFill="1" applyBorder="1" applyAlignment="1">
      <alignment horizontal="center"/>
    </xf>
    <xf numFmtId="0" fontId="4" fillId="6" borderId="8" xfId="0" applyFont="1" applyFill="1" applyBorder="1" applyAlignment="1">
      <alignment horizontal="center"/>
    </xf>
    <xf numFmtId="0" fontId="5" fillId="0" borderId="8" xfId="0" applyFont="1" applyBorder="1" applyAlignment="1">
      <alignment horizontal="justify" vertical="top"/>
    </xf>
    <xf numFmtId="0" fontId="5" fillId="0" borderId="8" xfId="0" applyFont="1" applyBorder="1" applyAlignment="1">
      <alignment horizontal="justify"/>
    </xf>
    <xf numFmtId="0" fontId="0" fillId="0" borderId="8" xfId="0" applyBorder="1"/>
    <xf numFmtId="0" fontId="4" fillId="5" borderId="8" xfId="0" applyFont="1" applyFill="1" applyBorder="1" applyAlignment="1">
      <alignment horizontal="center"/>
    </xf>
    <xf numFmtId="0" fontId="6" fillId="0" borderId="8" xfId="0" applyFont="1" applyBorder="1" applyAlignment="1">
      <alignment horizontal="justify"/>
    </xf>
    <xf numFmtId="0" fontId="5" fillId="0" borderId="9" xfId="0" applyFont="1" applyBorder="1" applyAlignment="1">
      <alignment horizontal="justify"/>
    </xf>
    <xf numFmtId="0" fontId="2" fillId="4" borderId="6" xfId="0" applyFont="1" applyFill="1" applyBorder="1" applyAlignment="1" applyProtection="1">
      <alignment horizontal="left" vertical="top"/>
    </xf>
    <xf numFmtId="0" fontId="2" fillId="4" borderId="6" xfId="0" applyFont="1" applyFill="1" applyBorder="1" applyAlignment="1" applyProtection="1">
      <alignment horizontal="left"/>
    </xf>
    <xf numFmtId="165" fontId="2" fillId="0" borderId="0" xfId="0" applyNumberFormat="1" applyFont="1"/>
    <xf numFmtId="0" fontId="5" fillId="0" borderId="8" xfId="0" applyNumberFormat="1" applyFont="1" applyBorder="1" applyAlignment="1">
      <alignment horizontal="justify"/>
    </xf>
    <xf numFmtId="0" fontId="3" fillId="0" borderId="0" xfId="0" applyFont="1"/>
    <xf numFmtId="43" fontId="0" fillId="6" borderId="0" xfId="0" applyNumberFormat="1" applyFill="1"/>
    <xf numFmtId="0" fontId="0" fillId="6" borderId="0" xfId="0" applyFill="1"/>
    <xf numFmtId="0" fontId="13" fillId="6" borderId="0" xfId="0" applyFont="1" applyFill="1"/>
    <xf numFmtId="0" fontId="13" fillId="0" borderId="0" xfId="0" applyFont="1"/>
    <xf numFmtId="43" fontId="13" fillId="6" borderId="0" xfId="0" applyNumberFormat="1" applyFont="1" applyFill="1"/>
    <xf numFmtId="43" fontId="13" fillId="0" borderId="0" xfId="0" applyNumberFormat="1" applyFont="1"/>
    <xf numFmtId="0" fontId="16" fillId="0" borderId="0" xfId="0" applyFont="1"/>
    <xf numFmtId="0" fontId="3" fillId="4" borderId="10" xfId="0" applyFont="1" applyFill="1" applyBorder="1" applyAlignment="1">
      <alignment horizontal="left"/>
    </xf>
    <xf numFmtId="0" fontId="13" fillId="0" borderId="0" xfId="0" applyFont="1" applyFill="1"/>
    <xf numFmtId="0" fontId="2" fillId="4" borderId="6" xfId="0" applyFont="1" applyFill="1" applyBorder="1" applyAlignment="1">
      <alignment horizontal="left" vertical="center" wrapText="1"/>
    </xf>
    <xf numFmtId="0" fontId="0" fillId="0" borderId="0" xfId="0" applyAlignment="1">
      <alignment vertical="center"/>
    </xf>
    <xf numFmtId="0" fontId="3" fillId="4" borderId="6" xfId="0" applyFont="1" applyFill="1" applyBorder="1" applyAlignment="1" applyProtection="1">
      <alignment horizontal="left"/>
    </xf>
    <xf numFmtId="0" fontId="3" fillId="4" borderId="11" xfId="0" applyFont="1" applyFill="1" applyBorder="1" applyAlignment="1">
      <alignment horizontal="left"/>
    </xf>
    <xf numFmtId="43" fontId="14" fillId="0" borderId="0" xfId="0" applyNumberFormat="1" applyFont="1"/>
    <xf numFmtId="0" fontId="14" fillId="0" borderId="0" xfId="0" applyFont="1"/>
    <xf numFmtId="43" fontId="2" fillId="4" borderId="1" xfId="2" applyFont="1" applyFill="1" applyBorder="1" applyAlignment="1" applyProtection="1">
      <alignment horizontal="right"/>
    </xf>
    <xf numFmtId="0" fontId="2" fillId="3" borderId="12" xfId="0" applyFont="1" applyFill="1" applyBorder="1" applyAlignment="1">
      <alignment horizontal="left" vertical="center" wrapText="1"/>
    </xf>
    <xf numFmtId="0" fontId="2" fillId="3" borderId="12" xfId="0" applyFont="1" applyFill="1" applyBorder="1" applyAlignment="1">
      <alignment horizontal="right" vertical="center" wrapText="1"/>
    </xf>
    <xf numFmtId="0" fontId="2" fillId="3" borderId="13" xfId="0" applyFont="1" applyFill="1" applyBorder="1" applyAlignment="1">
      <alignment horizontal="right" vertical="center" wrapText="1"/>
    </xf>
    <xf numFmtId="0" fontId="2" fillId="4" borderId="1" xfId="0" applyFont="1" applyFill="1" applyBorder="1" applyAlignment="1">
      <alignment horizontal="right"/>
    </xf>
    <xf numFmtId="43" fontId="2" fillId="4" borderId="14" xfId="2" applyFont="1" applyFill="1" applyBorder="1" applyAlignment="1" applyProtection="1">
      <alignment horizontal="right"/>
    </xf>
    <xf numFmtId="0" fontId="2" fillId="3" borderId="15" xfId="0" applyFont="1" applyFill="1" applyBorder="1" applyAlignment="1">
      <alignment horizontal="left" vertical="center" wrapText="1"/>
    </xf>
    <xf numFmtId="0" fontId="2" fillId="4" borderId="3" xfId="0" applyFont="1" applyFill="1" applyBorder="1" applyAlignment="1">
      <alignment horizontal="left"/>
    </xf>
    <xf numFmtId="0" fontId="13" fillId="7" borderId="1" xfId="0" applyFont="1" applyFill="1" applyBorder="1" applyAlignment="1">
      <alignment horizontal="left"/>
    </xf>
    <xf numFmtId="0" fontId="13" fillId="7" borderId="5" xfId="0" applyFont="1" applyFill="1" applyBorder="1" applyAlignment="1">
      <alignment horizontal="left"/>
    </xf>
    <xf numFmtId="0" fontId="13" fillId="8" borderId="5" xfId="0" applyFont="1" applyFill="1" applyBorder="1" applyAlignment="1">
      <alignment horizontal="left"/>
    </xf>
    <xf numFmtId="43" fontId="13" fillId="7" borderId="5" xfId="2" applyFont="1" applyFill="1" applyBorder="1" applyAlignment="1" applyProtection="1">
      <alignment horizontal="left"/>
    </xf>
    <xf numFmtId="0" fontId="2" fillId="3" borderId="12" xfId="0" applyFont="1" applyFill="1" applyBorder="1" applyAlignment="1">
      <alignment horizontal="center" vertical="center" wrapText="1"/>
    </xf>
    <xf numFmtId="0" fontId="2" fillId="4" borderId="1" xfId="0" applyFont="1" applyFill="1" applyBorder="1" applyAlignment="1">
      <alignment horizontal="center"/>
    </xf>
    <xf numFmtId="43" fontId="2" fillId="4" borderId="1" xfId="2" applyFont="1" applyFill="1" applyBorder="1" applyAlignment="1" applyProtection="1">
      <alignment horizontal="center"/>
    </xf>
    <xf numFmtId="43" fontId="3" fillId="4" borderId="14" xfId="2" applyFont="1" applyFill="1" applyBorder="1" applyAlignment="1" applyProtection="1">
      <alignment horizontal="center"/>
    </xf>
    <xf numFmtId="43" fontId="2" fillId="4" borderId="5" xfId="0" applyNumberFormat="1" applyFont="1" applyFill="1" applyBorder="1" applyAlignment="1">
      <alignment horizontal="center"/>
    </xf>
    <xf numFmtId="43" fontId="3" fillId="4" borderId="5" xfId="2" applyFont="1" applyFill="1" applyBorder="1" applyAlignment="1" applyProtection="1">
      <alignment horizontal="center"/>
      <protection locked="0"/>
    </xf>
    <xf numFmtId="43" fontId="3" fillId="4" borderId="16" xfId="2" applyFont="1" applyFill="1" applyBorder="1" applyAlignment="1" applyProtection="1">
      <alignment horizontal="center"/>
    </xf>
    <xf numFmtId="0" fontId="2" fillId="6" borderId="5" xfId="0" applyFont="1" applyFill="1" applyBorder="1" applyAlignment="1" applyProtection="1">
      <alignment horizontal="center"/>
      <protection locked="0"/>
    </xf>
    <xf numFmtId="166" fontId="2" fillId="6" borderId="5" xfId="2" applyNumberFormat="1" applyFont="1" applyFill="1" applyBorder="1" applyAlignment="1" applyProtection="1">
      <alignment horizontal="center"/>
      <protection locked="0"/>
    </xf>
    <xf numFmtId="43" fontId="2" fillId="4" borderId="5" xfId="2" applyFont="1" applyFill="1" applyBorder="1" applyAlignment="1" applyProtection="1">
      <alignment horizontal="center"/>
      <protection locked="0"/>
    </xf>
    <xf numFmtId="43" fontId="2" fillId="4" borderId="16" xfId="2" applyFont="1" applyFill="1" applyBorder="1" applyAlignment="1" applyProtection="1">
      <alignment horizontal="center"/>
    </xf>
    <xf numFmtId="43" fontId="2" fillId="6" borderId="5" xfId="2" applyFont="1" applyFill="1" applyBorder="1" applyAlignment="1" applyProtection="1">
      <alignment horizontal="center"/>
      <protection locked="0"/>
    </xf>
    <xf numFmtId="0" fontId="13" fillId="4" borderId="5" xfId="0" applyFont="1" applyFill="1" applyBorder="1" applyAlignment="1">
      <alignment horizontal="center"/>
    </xf>
    <xf numFmtId="0" fontId="2" fillId="4" borderId="5" xfId="0" applyFont="1" applyFill="1" applyBorder="1" applyAlignment="1">
      <alignment horizontal="center"/>
    </xf>
    <xf numFmtId="164" fontId="2" fillId="4" borderId="5" xfId="0" applyNumberFormat="1" applyFont="1" applyFill="1" applyBorder="1" applyAlignment="1">
      <alignment horizontal="center"/>
    </xf>
    <xf numFmtId="43" fontId="2" fillId="4" borderId="17" xfId="2" applyFont="1" applyFill="1" applyBorder="1" applyAlignment="1" applyProtection="1">
      <alignment horizontal="center"/>
    </xf>
    <xf numFmtId="43" fontId="2" fillId="4" borderId="18" xfId="2" applyFont="1" applyFill="1" applyBorder="1" applyAlignment="1" applyProtection="1">
      <alignment horizontal="center"/>
    </xf>
    <xf numFmtId="0" fontId="2" fillId="6" borderId="19" xfId="0" applyFont="1" applyFill="1" applyBorder="1" applyAlignment="1" applyProtection="1">
      <alignment horizontal="center"/>
      <protection locked="0"/>
    </xf>
    <xf numFmtId="166" fontId="2" fillId="6" borderId="19" xfId="2" applyNumberFormat="1" applyFont="1" applyFill="1" applyBorder="1" applyAlignment="1" applyProtection="1">
      <alignment horizontal="center"/>
      <protection locked="0"/>
    </xf>
    <xf numFmtId="43" fontId="2" fillId="6" borderId="19" xfId="2" applyFont="1" applyFill="1" applyBorder="1" applyAlignment="1" applyProtection="1">
      <alignment horizontal="center"/>
      <protection locked="0"/>
    </xf>
    <xf numFmtId="166" fontId="3" fillId="6" borderId="5" xfId="2" applyNumberFormat="1" applyFont="1" applyFill="1" applyBorder="1" applyAlignment="1" applyProtection="1">
      <alignment horizontal="center"/>
      <protection locked="0"/>
    </xf>
    <xf numFmtId="0" fontId="13" fillId="6" borderId="5" xfId="0" applyFont="1" applyFill="1" applyBorder="1" applyAlignment="1" applyProtection="1">
      <alignment horizontal="center"/>
      <protection locked="0"/>
    </xf>
    <xf numFmtId="43" fontId="13" fillId="4" borderId="5" xfId="0" applyNumberFormat="1" applyFont="1" applyFill="1" applyBorder="1" applyAlignment="1">
      <alignment horizontal="center"/>
    </xf>
    <xf numFmtId="0" fontId="2" fillId="6" borderId="5" xfId="0" applyFont="1" applyFill="1" applyBorder="1" applyAlignment="1" applyProtection="1">
      <alignment horizontal="center" vertical="center"/>
      <protection locked="0"/>
    </xf>
    <xf numFmtId="43" fontId="2" fillId="6" borderId="5" xfId="2" applyFont="1" applyFill="1" applyBorder="1" applyAlignment="1" applyProtection="1">
      <alignment horizontal="center" vertical="center"/>
      <protection locked="0"/>
    </xf>
    <xf numFmtId="43" fontId="2" fillId="4" borderId="16" xfId="2" applyFont="1" applyFill="1" applyBorder="1" applyAlignment="1" applyProtection="1">
      <alignment horizontal="center" vertical="center"/>
    </xf>
    <xf numFmtId="0" fontId="2" fillId="0" borderId="5" xfId="0" applyFont="1" applyFill="1" applyBorder="1" applyAlignment="1">
      <alignment horizontal="center"/>
    </xf>
    <xf numFmtId="0" fontId="2" fillId="0" borderId="1" xfId="0" applyFont="1" applyFill="1" applyBorder="1" applyAlignment="1">
      <alignment horizontal="center"/>
    </xf>
    <xf numFmtId="43" fontId="2" fillId="4" borderId="1" xfId="0" applyNumberFormat="1" applyFont="1" applyFill="1" applyBorder="1" applyAlignment="1">
      <alignment horizontal="center"/>
    </xf>
    <xf numFmtId="43" fontId="2" fillId="4" borderId="5" xfId="2" applyFont="1" applyFill="1" applyBorder="1" applyAlignment="1" applyProtection="1">
      <alignment horizontal="center"/>
    </xf>
    <xf numFmtId="0" fontId="13" fillId="6" borderId="17" xfId="0" applyFont="1" applyFill="1" applyBorder="1" applyAlignment="1" applyProtection="1">
      <alignment horizontal="center"/>
      <protection locked="0"/>
    </xf>
    <xf numFmtId="43" fontId="13" fillId="6" borderId="17" xfId="2" applyFont="1" applyFill="1" applyBorder="1" applyAlignment="1" applyProtection="1">
      <alignment horizontal="center"/>
      <protection locked="0"/>
    </xf>
    <xf numFmtId="166" fontId="13" fillId="6" borderId="17" xfId="2" applyNumberFormat="1" applyFont="1" applyFill="1" applyBorder="1" applyAlignment="1" applyProtection="1">
      <alignment horizontal="center"/>
      <protection locked="0"/>
    </xf>
    <xf numFmtId="43" fontId="13" fillId="8" borderId="5" xfId="2" applyFont="1" applyFill="1" applyBorder="1" applyAlignment="1" applyProtection="1">
      <alignment horizontal="center"/>
    </xf>
    <xf numFmtId="43" fontId="2" fillId="0" borderId="17" xfId="2" applyFont="1" applyFill="1" applyBorder="1" applyAlignment="1" applyProtection="1">
      <alignment horizontal="center"/>
      <protection locked="0"/>
    </xf>
    <xf numFmtId="43" fontId="2" fillId="4" borderId="17" xfId="2" applyFont="1" applyFill="1" applyBorder="1" applyAlignment="1" applyProtection="1">
      <alignment horizontal="center"/>
      <protection locked="0"/>
    </xf>
    <xf numFmtId="43" fontId="3" fillId="4" borderId="18" xfId="2" applyFont="1" applyFill="1" applyBorder="1" applyAlignment="1" applyProtection="1">
      <alignment horizontal="center"/>
    </xf>
    <xf numFmtId="43" fontId="13" fillId="7" borderId="17" xfId="2" applyFont="1" applyFill="1" applyBorder="1" applyAlignment="1" applyProtection="1">
      <alignment horizontal="center"/>
    </xf>
    <xf numFmtId="43" fontId="2" fillId="0" borderId="5" xfId="2" applyFont="1" applyFill="1" applyBorder="1" applyAlignment="1" applyProtection="1">
      <alignment horizontal="center"/>
      <protection locked="0"/>
    </xf>
    <xf numFmtId="0" fontId="2" fillId="4" borderId="17" xfId="0" applyFont="1" applyFill="1" applyBorder="1" applyAlignment="1">
      <alignment horizontal="center"/>
    </xf>
    <xf numFmtId="0" fontId="13" fillId="8" borderId="5" xfId="0" applyFont="1" applyFill="1" applyBorder="1" applyAlignment="1">
      <alignment horizontal="center"/>
    </xf>
    <xf numFmtId="43" fontId="2" fillId="0" borderId="17" xfId="2" applyFont="1" applyFill="1" applyBorder="1" applyAlignment="1" applyProtection="1">
      <alignment horizontal="center"/>
    </xf>
    <xf numFmtId="43" fontId="2" fillId="4" borderId="1" xfId="2" applyFont="1" applyFill="1" applyBorder="1" applyAlignment="1" applyProtection="1">
      <alignment horizontal="center"/>
      <protection locked="0"/>
    </xf>
    <xf numFmtId="0" fontId="2" fillId="4" borderId="5" xfId="0" applyFont="1" applyFill="1" applyBorder="1" applyAlignment="1" applyProtection="1">
      <alignment horizontal="center"/>
    </xf>
    <xf numFmtId="165" fontId="2" fillId="6" borderId="5" xfId="1" applyNumberFormat="1" applyFont="1" applyFill="1" applyBorder="1" applyAlignment="1" applyProtection="1">
      <alignment horizontal="center"/>
      <protection locked="0"/>
    </xf>
    <xf numFmtId="0" fontId="2" fillId="4" borderId="0" xfId="0" applyFont="1" applyFill="1" applyAlignment="1">
      <alignment horizontal="center"/>
    </xf>
    <xf numFmtId="43" fontId="2" fillId="4" borderId="0" xfId="2" applyFont="1" applyFill="1" applyAlignment="1">
      <alignment horizontal="center"/>
    </xf>
    <xf numFmtId="43" fontId="17" fillId="4" borderId="16" xfId="2" applyFont="1" applyFill="1" applyBorder="1" applyAlignment="1" applyProtection="1">
      <alignment horizontal="center"/>
    </xf>
    <xf numFmtId="165" fontId="13" fillId="6" borderId="5" xfId="1" applyNumberFormat="1" applyFont="1" applyFill="1" applyBorder="1" applyAlignment="1" applyProtection="1">
      <alignment horizontal="center"/>
      <protection locked="0"/>
    </xf>
    <xf numFmtId="43" fontId="13" fillId="6" borderId="5" xfId="2" applyFont="1" applyFill="1" applyBorder="1" applyAlignment="1" applyProtection="1">
      <alignment horizontal="center"/>
      <protection locked="0"/>
    </xf>
    <xf numFmtId="0" fontId="2" fillId="4" borderId="20" xfId="0" applyFont="1" applyFill="1" applyBorder="1" applyAlignment="1">
      <alignment horizontal="center"/>
    </xf>
    <xf numFmtId="43" fontId="2" fillId="4" borderId="20" xfId="2" applyFont="1" applyFill="1" applyBorder="1" applyAlignment="1" applyProtection="1">
      <alignment horizontal="center"/>
      <protection locked="0"/>
    </xf>
    <xf numFmtId="43" fontId="2" fillId="4" borderId="21" xfId="2" applyFont="1" applyFill="1" applyBorder="1" applyAlignment="1" applyProtection="1">
      <alignment horizontal="center"/>
    </xf>
    <xf numFmtId="43" fontId="2" fillId="6" borderId="16" xfId="2" applyFont="1" applyFill="1" applyBorder="1" applyAlignment="1" applyProtection="1">
      <alignment horizontal="center"/>
      <protection locked="0"/>
    </xf>
    <xf numFmtId="0" fontId="2" fillId="4" borderId="5" xfId="0" applyFont="1" applyFill="1" applyBorder="1" applyAlignment="1" applyProtection="1">
      <alignment horizontal="center" vertical="top"/>
    </xf>
    <xf numFmtId="167" fontId="2" fillId="6" borderId="16" xfId="2" applyNumberFormat="1" applyFont="1" applyFill="1" applyBorder="1" applyAlignment="1" applyProtection="1">
      <alignment horizontal="center"/>
      <protection locked="0"/>
    </xf>
    <xf numFmtId="0" fontId="2" fillId="4" borderId="22" xfId="0" applyFont="1" applyFill="1" applyBorder="1" applyAlignment="1" applyProtection="1">
      <alignment horizontal="center" wrapText="1"/>
    </xf>
    <xf numFmtId="0" fontId="3" fillId="4" borderId="5" xfId="0" applyFont="1" applyFill="1" applyBorder="1" applyAlignment="1" applyProtection="1">
      <alignment horizontal="center"/>
    </xf>
    <xf numFmtId="43" fontId="3" fillId="4" borderId="5" xfId="2" applyFont="1" applyFill="1" applyBorder="1" applyAlignment="1" applyProtection="1">
      <alignment horizontal="center"/>
    </xf>
    <xf numFmtId="0" fontId="2" fillId="0" borderId="5" xfId="0" applyFont="1" applyFill="1" applyBorder="1" applyAlignment="1" applyProtection="1">
      <alignment horizontal="center"/>
    </xf>
    <xf numFmtId="43" fontId="2" fillId="0" borderId="5" xfId="2" applyFont="1" applyFill="1" applyBorder="1" applyAlignment="1" applyProtection="1">
      <alignment horizontal="center"/>
    </xf>
    <xf numFmtId="0" fontId="3" fillId="4" borderId="17" xfId="0" applyFont="1" applyFill="1" applyBorder="1" applyAlignment="1" applyProtection="1">
      <alignment horizontal="center"/>
    </xf>
    <xf numFmtId="43" fontId="3" fillId="4" borderId="17" xfId="2" applyFont="1" applyFill="1" applyBorder="1" applyAlignment="1" applyProtection="1">
      <alignment horizontal="center"/>
    </xf>
    <xf numFmtId="0" fontId="2" fillId="4" borderId="17" xfId="0" applyFont="1" applyFill="1" applyBorder="1" applyAlignment="1" applyProtection="1">
      <alignment horizontal="center"/>
    </xf>
    <xf numFmtId="43" fontId="3" fillId="0" borderId="21" xfId="2" applyFont="1" applyFill="1" applyBorder="1" applyAlignment="1" applyProtection="1">
      <alignment horizontal="center"/>
    </xf>
    <xf numFmtId="0" fontId="2" fillId="4" borderId="19" xfId="0" applyFont="1" applyFill="1" applyBorder="1" applyAlignment="1">
      <alignment horizontal="center"/>
    </xf>
    <xf numFmtId="43" fontId="2" fillId="4" borderId="19" xfId="2" applyFont="1" applyFill="1" applyBorder="1" applyAlignment="1" applyProtection="1">
      <alignment horizontal="center"/>
      <protection locked="0"/>
    </xf>
    <xf numFmtId="43" fontId="3" fillId="0" borderId="16" xfId="2" applyFont="1" applyFill="1" applyBorder="1" applyAlignment="1" applyProtection="1">
      <alignment horizontal="center"/>
    </xf>
    <xf numFmtId="43" fontId="3" fillId="4" borderId="23" xfId="2" applyFont="1" applyFill="1" applyBorder="1" applyAlignment="1" applyProtection="1">
      <alignment horizontal="center"/>
      <protection locked="0"/>
    </xf>
    <xf numFmtId="0" fontId="2" fillId="4" borderId="10" xfId="0" applyFont="1" applyFill="1" applyBorder="1" applyAlignment="1">
      <alignment horizontal="left"/>
    </xf>
    <xf numFmtId="0" fontId="2" fillId="0" borderId="10" xfId="0" applyFont="1" applyFill="1" applyBorder="1" applyAlignment="1" applyProtection="1">
      <alignment horizontal="left"/>
      <protection locked="0"/>
    </xf>
    <xf numFmtId="0" fontId="2" fillId="6" borderId="10" xfId="0" applyFont="1" applyFill="1" applyBorder="1" applyAlignment="1" applyProtection="1">
      <alignment horizontal="left"/>
      <protection locked="0"/>
    </xf>
    <xf numFmtId="0" fontId="14" fillId="6" borderId="6" xfId="0" applyFont="1" applyFill="1" applyBorder="1" applyAlignment="1" applyProtection="1">
      <alignment horizontal="left"/>
      <protection locked="0"/>
    </xf>
    <xf numFmtId="0" fontId="2" fillId="6" borderId="6" xfId="0" applyFont="1" applyFill="1" applyBorder="1" applyAlignment="1" applyProtection="1">
      <alignment horizontal="left"/>
      <protection locked="0"/>
    </xf>
    <xf numFmtId="0" fontId="13" fillId="6" borderId="6" xfId="0" applyFont="1" applyFill="1" applyBorder="1" applyAlignment="1" applyProtection="1">
      <alignment horizontal="left"/>
      <protection locked="0"/>
    </xf>
    <xf numFmtId="43" fontId="3" fillId="0" borderId="5" xfId="2" applyFont="1" applyFill="1" applyBorder="1" applyAlignment="1" applyProtection="1">
      <alignment horizontal="center"/>
    </xf>
    <xf numFmtId="0" fontId="13" fillId="6" borderId="5" xfId="0" applyFont="1" applyFill="1" applyBorder="1" applyAlignment="1" applyProtection="1">
      <alignment horizontal="left"/>
      <protection locked="0"/>
    </xf>
    <xf numFmtId="43" fontId="13" fillId="4" borderId="5" xfId="0" applyNumberFormat="1" applyFont="1" applyFill="1" applyBorder="1" applyAlignment="1">
      <alignment horizontal="left"/>
    </xf>
    <xf numFmtId="0" fontId="13" fillId="6" borderId="5" xfId="0" applyFont="1" applyFill="1" applyBorder="1" applyAlignment="1" applyProtection="1">
      <alignment horizontal="left" vertical="center"/>
      <protection locked="0"/>
    </xf>
    <xf numFmtId="43" fontId="13" fillId="0" borderId="5" xfId="0" applyNumberFormat="1" applyFont="1" applyFill="1" applyBorder="1" applyAlignment="1">
      <alignment horizontal="left"/>
    </xf>
    <xf numFmtId="43" fontId="13" fillId="7" borderId="5" xfId="0" applyNumberFormat="1" applyFont="1" applyFill="1" applyBorder="1" applyAlignment="1">
      <alignment horizontal="left"/>
    </xf>
    <xf numFmtId="0" fontId="13" fillId="4" borderId="1" xfId="0" applyFont="1" applyFill="1" applyBorder="1" applyAlignment="1">
      <alignment horizontal="left"/>
    </xf>
    <xf numFmtId="0" fontId="13" fillId="4" borderId="5" xfId="0" applyFont="1" applyFill="1" applyBorder="1" applyAlignment="1" applyProtection="1">
      <alignment horizontal="left"/>
    </xf>
    <xf numFmtId="0" fontId="13" fillId="8" borderId="1" xfId="0" applyFont="1" applyFill="1" applyBorder="1" applyAlignment="1">
      <alignment horizontal="left"/>
    </xf>
    <xf numFmtId="0" fontId="13" fillId="0" borderId="5" xfId="0" applyFont="1" applyFill="1" applyBorder="1" applyAlignment="1">
      <alignment horizontal="left"/>
    </xf>
    <xf numFmtId="0" fontId="13" fillId="4" borderId="5" xfId="0" applyFont="1" applyFill="1" applyBorder="1" applyAlignment="1">
      <alignment horizontal="left"/>
    </xf>
    <xf numFmtId="0" fontId="13" fillId="4" borderId="5" xfId="0" applyFont="1" applyFill="1" applyBorder="1" applyAlignment="1"/>
    <xf numFmtId="0" fontId="13" fillId="0" borderId="5" xfId="0" applyFont="1" applyFill="1" applyBorder="1" applyAlignment="1"/>
    <xf numFmtId="0" fontId="13" fillId="7" borderId="5" xfId="0" applyFont="1" applyFill="1" applyBorder="1" applyAlignment="1"/>
    <xf numFmtId="0" fontId="13" fillId="8" borderId="5" xfId="0" applyFont="1" applyFill="1" applyBorder="1" applyAlignment="1"/>
    <xf numFmtId="0" fontId="13" fillId="4" borderId="5" xfId="0" applyFont="1" applyFill="1" applyBorder="1" applyAlignment="1" applyProtection="1"/>
    <xf numFmtId="0" fontId="13" fillId="8" borderId="5" xfId="0" applyFont="1" applyFill="1" applyBorder="1" applyAlignment="1" applyProtection="1"/>
    <xf numFmtId="0" fontId="13" fillId="7" borderId="5" xfId="0" applyFont="1" applyFill="1" applyBorder="1" applyAlignment="1" applyProtection="1"/>
    <xf numFmtId="0" fontId="13" fillId="4" borderId="20" xfId="0" applyFont="1" applyFill="1" applyBorder="1" applyAlignment="1">
      <alignment horizontal="left"/>
    </xf>
    <xf numFmtId="0" fontId="13" fillId="4" borderId="5" xfId="0" applyFont="1" applyFill="1" applyBorder="1" applyAlignment="1" applyProtection="1">
      <alignment horizontal="left" wrapText="1"/>
    </xf>
    <xf numFmtId="0" fontId="13" fillId="4" borderId="5" xfId="0" applyFont="1" applyFill="1" applyBorder="1" applyAlignment="1" applyProtection="1">
      <alignment horizontal="left" vertical="top"/>
    </xf>
    <xf numFmtId="0" fontId="13" fillId="4" borderId="22" xfId="0" applyFont="1" applyFill="1" applyBorder="1" applyAlignment="1" applyProtection="1">
      <alignment horizontal="left" wrapText="1"/>
    </xf>
    <xf numFmtId="0" fontId="15" fillId="4" borderId="5" xfId="0" applyFont="1" applyFill="1" applyBorder="1" applyAlignment="1" applyProtection="1"/>
    <xf numFmtId="0" fontId="13" fillId="0" borderId="5" xfId="0" applyFont="1" applyFill="1" applyBorder="1" applyAlignment="1" applyProtection="1"/>
    <xf numFmtId="0" fontId="13" fillId="0" borderId="5" xfId="0" applyFont="1" applyFill="1" applyBorder="1" applyAlignment="1" applyProtection="1">
      <alignment horizontal="left"/>
    </xf>
    <xf numFmtId="0" fontId="15" fillId="4" borderId="5" xfId="0" applyFont="1" applyFill="1" applyBorder="1" applyAlignment="1" applyProtection="1">
      <alignment horizontal="left"/>
    </xf>
    <xf numFmtId="0" fontId="15" fillId="4" borderId="17" xfId="0" applyFont="1" applyFill="1" applyBorder="1" applyAlignment="1" applyProtection="1">
      <alignment horizontal="left"/>
    </xf>
    <xf numFmtId="43" fontId="2" fillId="4" borderId="20" xfId="2" applyFont="1" applyFill="1" applyBorder="1" applyAlignment="1" applyProtection="1">
      <alignment horizontal="left"/>
      <protection locked="0"/>
    </xf>
    <xf numFmtId="0" fontId="13" fillId="4" borderId="19" xfId="0" applyFont="1" applyFill="1" applyBorder="1" applyAlignment="1">
      <alignment horizontal="left"/>
    </xf>
    <xf numFmtId="43" fontId="13" fillId="4" borderId="17" xfId="2" applyFont="1" applyFill="1" applyBorder="1" applyAlignment="1" applyProtection="1">
      <alignment horizontal="left"/>
    </xf>
    <xf numFmtId="0" fontId="13" fillId="4" borderId="23" xfId="0" applyFont="1" applyFill="1" applyBorder="1" applyAlignment="1">
      <alignment horizontal="left"/>
    </xf>
    <xf numFmtId="43" fontId="13" fillId="8" borderId="5" xfId="0" applyNumberFormat="1" applyFont="1" applyFill="1" applyBorder="1" applyAlignment="1"/>
    <xf numFmtId="0" fontId="2" fillId="0" borderId="19" xfId="0" applyFont="1" applyFill="1" applyBorder="1" applyAlignment="1" applyProtection="1">
      <protection locked="0"/>
    </xf>
    <xf numFmtId="0" fontId="2" fillId="6" borderId="19" xfId="0" applyFont="1" applyFill="1" applyBorder="1" applyAlignment="1" applyProtection="1">
      <protection locked="0"/>
    </xf>
    <xf numFmtId="0" fontId="13" fillId="6" borderId="5" xfId="0" applyFont="1" applyFill="1" applyBorder="1" applyAlignment="1" applyProtection="1">
      <protection locked="0"/>
    </xf>
    <xf numFmtId="0" fontId="2" fillId="4" borderId="6" xfId="0" applyFont="1" applyFill="1" applyBorder="1" applyAlignment="1">
      <alignment horizontal="left" indent="1"/>
    </xf>
    <xf numFmtId="43" fontId="2" fillId="4" borderId="18" xfId="2" applyFont="1" applyFill="1" applyBorder="1" applyProtection="1"/>
    <xf numFmtId="166" fontId="13" fillId="6" borderId="5" xfId="2" applyNumberFormat="1" applyFont="1" applyFill="1" applyBorder="1" applyProtection="1">
      <protection locked="0"/>
    </xf>
    <xf numFmtId="43" fontId="2" fillId="4" borderId="5" xfId="2" applyFont="1" applyFill="1" applyBorder="1" applyProtection="1"/>
    <xf numFmtId="43" fontId="2" fillId="4" borderId="16" xfId="2" applyFont="1" applyFill="1" applyBorder="1" applyProtection="1"/>
    <xf numFmtId="43" fontId="13" fillId="8" borderId="5" xfId="2" applyFont="1" applyFill="1" applyBorder="1" applyAlignment="1" applyProtection="1">
      <alignment horizontal="left"/>
    </xf>
    <xf numFmtId="0" fontId="13" fillId="6" borderId="3" xfId="0" applyFont="1" applyFill="1" applyBorder="1" applyAlignment="1" applyProtection="1">
      <alignment horizontal="left"/>
      <protection locked="0"/>
    </xf>
    <xf numFmtId="0" fontId="13" fillId="6" borderId="1" xfId="0" applyFont="1" applyFill="1" applyBorder="1" applyAlignment="1" applyProtection="1">
      <alignment horizontal="left"/>
      <protection locked="0"/>
    </xf>
    <xf numFmtId="0" fontId="13" fillId="6" borderId="1" xfId="0" applyFont="1" applyFill="1" applyBorder="1" applyAlignment="1" applyProtection="1">
      <alignment horizontal="center"/>
      <protection locked="0"/>
    </xf>
    <xf numFmtId="165" fontId="13" fillId="6" borderId="1" xfId="1" applyNumberFormat="1" applyFont="1" applyFill="1" applyBorder="1" applyAlignment="1" applyProtection="1">
      <alignment horizontal="center"/>
      <protection locked="0"/>
    </xf>
    <xf numFmtId="43" fontId="13" fillId="6" borderId="1" xfId="2" applyFont="1" applyFill="1" applyBorder="1" applyAlignment="1" applyProtection="1">
      <alignment horizontal="center"/>
      <protection locked="0"/>
    </xf>
    <xf numFmtId="43" fontId="2" fillId="4" borderId="14" xfId="2" applyFont="1" applyFill="1" applyBorder="1" applyAlignment="1" applyProtection="1">
      <alignment horizontal="center"/>
    </xf>
    <xf numFmtId="0" fontId="3" fillId="4" borderId="6" xfId="0" applyFont="1" applyFill="1" applyBorder="1" applyAlignment="1" applyProtection="1">
      <alignment horizontal="left" vertical="top"/>
    </xf>
    <xf numFmtId="43" fontId="31" fillId="0" borderId="5" xfId="2" applyFont="1" applyFill="1" applyBorder="1" applyAlignment="1" applyProtection="1">
      <alignment horizontal="center"/>
    </xf>
    <xf numFmtId="0" fontId="31" fillId="4" borderId="6" xfId="0" applyFont="1" applyFill="1" applyBorder="1" applyAlignment="1" applyProtection="1">
      <alignment horizontal="left"/>
    </xf>
    <xf numFmtId="0" fontId="31" fillId="4" borderId="6" xfId="0" applyFont="1" applyFill="1" applyBorder="1" applyAlignment="1">
      <alignment horizontal="left"/>
    </xf>
    <xf numFmtId="43" fontId="13" fillId="0" borderId="0" xfId="2" applyFont="1"/>
    <xf numFmtId="0" fontId="13" fillId="0" borderId="0" xfId="0" applyFont="1" applyAlignment="1">
      <alignment horizontal="fill" wrapText="1"/>
    </xf>
    <xf numFmtId="0" fontId="13" fillId="0" borderId="0" xfId="0" applyFont="1" applyAlignment="1">
      <alignment horizontal="fill"/>
    </xf>
    <xf numFmtId="43" fontId="13" fillId="0" borderId="0" xfId="2" applyFont="1" applyAlignment="1" applyProtection="1">
      <alignment horizontal="fill"/>
    </xf>
    <xf numFmtId="0" fontId="13" fillId="4" borderId="3" xfId="0" applyFont="1" applyFill="1" applyBorder="1" applyAlignment="1">
      <alignment horizontal="left"/>
    </xf>
    <xf numFmtId="0" fontId="13" fillId="4" borderId="1" xfId="0" applyFont="1" applyFill="1" applyBorder="1" applyAlignment="1">
      <alignment horizontal="right"/>
    </xf>
    <xf numFmtId="43" fontId="13" fillId="4" borderId="1" xfId="2" applyFont="1" applyFill="1" applyBorder="1" applyAlignment="1" applyProtection="1">
      <alignment horizontal="right"/>
    </xf>
    <xf numFmtId="43" fontId="13" fillId="4" borderId="14" xfId="2" applyFont="1" applyFill="1" applyBorder="1" applyAlignment="1" applyProtection="1">
      <alignment horizontal="right"/>
    </xf>
    <xf numFmtId="0" fontId="15" fillId="4" borderId="3" xfId="0" applyFont="1" applyFill="1" applyBorder="1" applyAlignment="1">
      <alignment horizontal="left"/>
    </xf>
    <xf numFmtId="0" fontId="13" fillId="4" borderId="1" xfId="0" applyFont="1" applyFill="1" applyBorder="1" applyAlignment="1">
      <alignment horizontal="center"/>
    </xf>
    <xf numFmtId="43" fontId="13" fillId="4" borderId="1" xfId="2" applyFont="1" applyFill="1" applyBorder="1" applyAlignment="1" applyProtection="1">
      <alignment horizontal="center"/>
    </xf>
    <xf numFmtId="43" fontId="15" fillId="4" borderId="14" xfId="2" applyFont="1" applyFill="1" applyBorder="1" applyAlignment="1" applyProtection="1">
      <alignment horizontal="center"/>
    </xf>
    <xf numFmtId="0" fontId="15" fillId="4" borderId="6" xfId="0" applyFont="1" applyFill="1" applyBorder="1" applyAlignment="1">
      <alignment horizontal="left"/>
    </xf>
    <xf numFmtId="43" fontId="15" fillId="4" borderId="5" xfId="2" applyFont="1" applyFill="1" applyBorder="1" applyAlignment="1" applyProtection="1">
      <alignment horizontal="center"/>
      <protection locked="0"/>
    </xf>
    <xf numFmtId="43" fontId="15" fillId="4" borderId="16" xfId="2" applyFont="1" applyFill="1" applyBorder="1" applyAlignment="1" applyProtection="1">
      <alignment horizontal="center"/>
    </xf>
    <xf numFmtId="0" fontId="15" fillId="0" borderId="0" xfId="0" applyFont="1"/>
    <xf numFmtId="0" fontId="13" fillId="4" borderId="6" xfId="0" applyFont="1" applyFill="1" applyBorder="1" applyAlignment="1">
      <alignment horizontal="left"/>
    </xf>
    <xf numFmtId="43" fontId="13" fillId="4" borderId="5" xfId="2" applyFont="1" applyFill="1" applyBorder="1" applyAlignment="1" applyProtection="1">
      <alignment horizontal="center"/>
      <protection locked="0"/>
    </xf>
    <xf numFmtId="43" fontId="13" fillId="4" borderId="16" xfId="2" applyFont="1" applyFill="1" applyBorder="1" applyAlignment="1" applyProtection="1">
      <alignment horizontal="center"/>
    </xf>
    <xf numFmtId="0" fontId="13" fillId="4" borderId="6" xfId="0" applyFont="1" applyFill="1" applyBorder="1" applyAlignment="1" applyProtection="1">
      <alignment horizontal="left"/>
    </xf>
    <xf numFmtId="164" fontId="13" fillId="4" borderId="5" xfId="0" applyNumberFormat="1" applyFont="1" applyFill="1" applyBorder="1" applyAlignment="1">
      <alignment horizontal="center"/>
    </xf>
    <xf numFmtId="43" fontId="13" fillId="4" borderId="17" xfId="2" applyFont="1" applyFill="1" applyBorder="1" applyAlignment="1" applyProtection="1">
      <alignment horizontal="center"/>
    </xf>
    <xf numFmtId="43" fontId="13" fillId="4" borderId="18" xfId="2" applyFont="1" applyFill="1" applyBorder="1" applyAlignment="1" applyProtection="1">
      <alignment horizontal="center"/>
    </xf>
    <xf numFmtId="43" fontId="13" fillId="6" borderId="5" xfId="2" applyFont="1" applyFill="1" applyBorder="1" applyProtection="1">
      <protection locked="0"/>
    </xf>
    <xf numFmtId="43" fontId="13" fillId="4" borderId="18" xfId="2" applyFont="1" applyFill="1" applyBorder="1" applyProtection="1"/>
    <xf numFmtId="0" fontId="13" fillId="0" borderId="10" xfId="0" applyFont="1" applyFill="1" applyBorder="1" applyAlignment="1" applyProtection="1">
      <alignment horizontal="left"/>
      <protection locked="0"/>
    </xf>
    <xf numFmtId="0" fontId="13" fillId="0" borderId="19" xfId="0" applyFont="1" applyFill="1" applyBorder="1" applyAlignment="1" applyProtection="1">
      <protection locked="0"/>
    </xf>
    <xf numFmtId="0" fontId="13" fillId="6" borderId="19" xfId="0" applyFont="1" applyFill="1" applyBorder="1" applyAlignment="1" applyProtection="1">
      <alignment horizontal="center"/>
      <protection locked="0"/>
    </xf>
    <xf numFmtId="166" fontId="13" fillId="6" borderId="19" xfId="2" applyNumberFormat="1" applyFont="1" applyFill="1" applyBorder="1" applyAlignment="1" applyProtection="1">
      <alignment horizontal="center"/>
      <protection locked="0"/>
    </xf>
    <xf numFmtId="43" fontId="13" fillId="6" borderId="19" xfId="2" applyFont="1" applyFill="1" applyBorder="1" applyAlignment="1" applyProtection="1">
      <alignment horizontal="center"/>
      <protection locked="0"/>
    </xf>
    <xf numFmtId="0" fontId="13" fillId="6" borderId="19" xfId="0" applyFont="1" applyFill="1" applyBorder="1" applyAlignment="1" applyProtection="1">
      <protection locked="0"/>
    </xf>
    <xf numFmtId="0" fontId="13" fillId="4" borderId="6" xfId="0" applyFont="1" applyFill="1" applyBorder="1" applyAlignment="1">
      <alignment horizontal="left" vertical="center" wrapText="1"/>
    </xf>
    <xf numFmtId="0" fontId="13" fillId="6" borderId="5" xfId="0" applyFont="1" applyFill="1" applyBorder="1" applyAlignment="1" applyProtection="1">
      <alignment horizontal="center" vertical="center"/>
      <protection locked="0"/>
    </xf>
    <xf numFmtId="43" fontId="13" fillId="4" borderId="16" xfId="2" applyFont="1" applyFill="1" applyBorder="1" applyAlignment="1" applyProtection="1">
      <alignment horizontal="center" vertical="center"/>
    </xf>
    <xf numFmtId="0" fontId="13" fillId="0" borderId="0" xfId="0" applyFont="1" applyAlignment="1">
      <alignment vertical="center"/>
    </xf>
    <xf numFmtId="0" fontId="13" fillId="0" borderId="5" xfId="0" applyFont="1" applyFill="1" applyBorder="1" applyAlignment="1">
      <alignment horizontal="center"/>
    </xf>
    <xf numFmtId="0" fontId="13" fillId="4" borderId="10" xfId="0" applyFont="1" applyFill="1" applyBorder="1" applyAlignment="1">
      <alignment horizontal="left"/>
    </xf>
    <xf numFmtId="0" fontId="13" fillId="0" borderId="1" xfId="0" applyFont="1" applyFill="1" applyBorder="1" applyAlignment="1">
      <alignment horizontal="center"/>
    </xf>
    <xf numFmtId="43" fontId="13" fillId="4" borderId="1" xfId="0" applyNumberFormat="1" applyFont="1" applyFill="1" applyBorder="1" applyAlignment="1">
      <alignment horizontal="center"/>
    </xf>
    <xf numFmtId="0" fontId="13" fillId="6" borderId="10" xfId="0" applyFont="1" applyFill="1" applyBorder="1" applyAlignment="1" applyProtection="1">
      <alignment horizontal="left"/>
      <protection locked="0"/>
    </xf>
    <xf numFmtId="43" fontId="13" fillId="4" borderId="5" xfId="2" applyFont="1" applyFill="1" applyBorder="1" applyAlignment="1" applyProtection="1">
      <alignment horizontal="center"/>
    </xf>
    <xf numFmtId="165" fontId="13" fillId="0" borderId="0" xfId="0" applyNumberFormat="1" applyFont="1"/>
    <xf numFmtId="43" fontId="13" fillId="4" borderId="5" xfId="2" applyFont="1" applyFill="1" applyBorder="1" applyProtection="1"/>
    <xf numFmtId="43" fontId="13" fillId="4" borderId="16" xfId="2" applyFont="1" applyFill="1" applyBorder="1" applyProtection="1"/>
    <xf numFmtId="166" fontId="15" fillId="6" borderId="5" xfId="2" applyNumberFormat="1" applyFont="1" applyFill="1" applyBorder="1" applyAlignment="1" applyProtection="1">
      <alignment horizontal="center"/>
      <protection locked="0"/>
    </xf>
    <xf numFmtId="0" fontId="15" fillId="4" borderId="4" xfId="0" applyFont="1" applyFill="1" applyBorder="1" applyAlignment="1">
      <alignment horizontal="left"/>
    </xf>
    <xf numFmtId="43" fontId="13" fillId="0" borderId="17" xfId="2" applyFont="1" applyFill="1" applyBorder="1" applyAlignment="1" applyProtection="1">
      <alignment horizontal="center"/>
      <protection locked="0"/>
    </xf>
    <xf numFmtId="43" fontId="13" fillId="4" borderId="17" xfId="2" applyFont="1" applyFill="1" applyBorder="1" applyAlignment="1" applyProtection="1">
      <alignment horizontal="center"/>
      <protection locked="0"/>
    </xf>
    <xf numFmtId="43" fontId="15" fillId="4" borderId="18" xfId="2" applyFont="1" applyFill="1" applyBorder="1" applyAlignment="1" applyProtection="1">
      <alignment horizontal="center"/>
    </xf>
    <xf numFmtId="43" fontId="13" fillId="0" borderId="5" xfId="2" applyFont="1" applyFill="1" applyBorder="1" applyAlignment="1" applyProtection="1">
      <alignment horizontal="center"/>
      <protection locked="0"/>
    </xf>
    <xf numFmtId="0" fontId="13" fillId="4" borderId="17" xfId="0" applyFont="1" applyFill="1" applyBorder="1" applyAlignment="1">
      <alignment horizontal="center"/>
    </xf>
    <xf numFmtId="43" fontId="13" fillId="0" borderId="17" xfId="2" applyFont="1" applyFill="1" applyBorder="1" applyAlignment="1" applyProtection="1">
      <alignment horizontal="center"/>
    </xf>
    <xf numFmtId="43" fontId="13" fillId="4" borderId="1" xfId="2" applyFont="1" applyFill="1" applyBorder="1" applyAlignment="1" applyProtection="1">
      <alignment horizontal="center"/>
      <protection locked="0"/>
    </xf>
    <xf numFmtId="0" fontId="13" fillId="4" borderId="5" xfId="0" applyFont="1" applyFill="1" applyBorder="1" applyAlignment="1" applyProtection="1">
      <alignment horizontal="center"/>
    </xf>
    <xf numFmtId="0" fontId="13" fillId="4" borderId="0" xfId="0" applyFont="1" applyFill="1" applyAlignment="1">
      <alignment horizontal="center"/>
    </xf>
    <xf numFmtId="43" fontId="13" fillId="4" borderId="0" xfId="2" applyFont="1" applyFill="1" applyAlignment="1">
      <alignment horizontal="center"/>
    </xf>
    <xf numFmtId="43" fontId="14" fillId="4" borderId="16" xfId="2" applyFont="1" applyFill="1" applyBorder="1" applyAlignment="1" applyProtection="1">
      <alignment horizontal="center"/>
    </xf>
    <xf numFmtId="43" fontId="13" fillId="4" borderId="14" xfId="2" applyFont="1" applyFill="1" applyBorder="1" applyAlignment="1" applyProtection="1">
      <alignment horizontal="center"/>
    </xf>
    <xf numFmtId="0" fontId="13" fillId="4" borderId="20" xfId="0" applyFont="1" applyFill="1" applyBorder="1" applyAlignment="1">
      <alignment horizontal="center"/>
    </xf>
    <xf numFmtId="43" fontId="13" fillId="4" borderId="20" xfId="2" applyFont="1" applyFill="1" applyBorder="1" applyAlignment="1" applyProtection="1">
      <alignment horizontal="center"/>
      <protection locked="0"/>
    </xf>
    <xf numFmtId="43" fontId="13" fillId="4" borderId="21" xfId="2" applyFont="1" applyFill="1" applyBorder="1" applyAlignment="1" applyProtection="1">
      <alignment horizontal="center"/>
    </xf>
    <xf numFmtId="0" fontId="13" fillId="4" borderId="6" xfId="0" applyFont="1" applyFill="1" applyBorder="1" applyAlignment="1" applyProtection="1">
      <alignment horizontal="left" vertical="top"/>
    </xf>
    <xf numFmtId="0" fontId="13" fillId="4" borderId="5" xfId="0" applyFont="1" applyFill="1" applyBorder="1" applyAlignment="1" applyProtection="1">
      <alignment horizontal="center" vertical="top"/>
    </xf>
    <xf numFmtId="43" fontId="13" fillId="6" borderId="16" xfId="2" applyFont="1" applyFill="1" applyBorder="1" applyAlignment="1" applyProtection="1">
      <alignment horizontal="center"/>
      <protection locked="0"/>
    </xf>
    <xf numFmtId="43" fontId="13" fillId="0" borderId="5" xfId="2" applyFont="1" applyFill="1" applyBorder="1" applyAlignment="1" applyProtection="1">
      <alignment horizontal="center"/>
    </xf>
    <xf numFmtId="0" fontId="13" fillId="4" borderId="22" xfId="0" applyFont="1" applyFill="1" applyBorder="1" applyAlignment="1" applyProtection="1">
      <alignment horizontal="center" wrapText="1"/>
    </xf>
    <xf numFmtId="167" fontId="13" fillId="6" borderId="16" xfId="2" applyNumberFormat="1" applyFont="1" applyFill="1" applyBorder="1" applyAlignment="1" applyProtection="1">
      <alignment horizontal="center"/>
      <protection locked="0"/>
    </xf>
    <xf numFmtId="0" fontId="15" fillId="4" borderId="6" xfId="0" applyFont="1" applyFill="1" applyBorder="1" applyAlignment="1" applyProtection="1">
      <alignment horizontal="left" vertical="top"/>
    </xf>
    <xf numFmtId="0" fontId="15" fillId="4" borderId="6" xfId="0" applyFont="1" applyFill="1" applyBorder="1" applyAlignment="1" applyProtection="1">
      <alignment horizontal="left"/>
    </xf>
    <xf numFmtId="0" fontId="15" fillId="4" borderId="5" xfId="0" applyFont="1" applyFill="1" applyBorder="1" applyAlignment="1" applyProtection="1">
      <alignment horizontal="center"/>
    </xf>
    <xf numFmtId="43" fontId="15" fillId="4" borderId="5" xfId="2" applyFont="1" applyFill="1" applyBorder="1" applyAlignment="1" applyProtection="1">
      <alignment horizontal="center"/>
    </xf>
    <xf numFmtId="0" fontId="13" fillId="0" borderId="5" xfId="0" applyFont="1" applyFill="1" applyBorder="1" applyAlignment="1" applyProtection="1">
      <alignment horizontal="center"/>
    </xf>
    <xf numFmtId="43" fontId="15" fillId="0" borderId="5" xfId="2" applyFont="1" applyFill="1" applyBorder="1" applyAlignment="1" applyProtection="1">
      <alignment horizontal="center"/>
    </xf>
    <xf numFmtId="0" fontId="15" fillId="4" borderId="17" xfId="0" applyFont="1" applyFill="1" applyBorder="1" applyAlignment="1" applyProtection="1">
      <alignment horizontal="center"/>
    </xf>
    <xf numFmtId="43" fontId="15" fillId="4" borderId="17" xfId="2" applyFont="1" applyFill="1" applyBorder="1" applyAlignment="1" applyProtection="1">
      <alignment horizontal="center"/>
    </xf>
    <xf numFmtId="43" fontId="32" fillId="0" borderId="5" xfId="2" applyFont="1" applyFill="1" applyBorder="1" applyAlignment="1" applyProtection="1">
      <alignment horizontal="center"/>
    </xf>
    <xf numFmtId="0" fontId="13" fillId="4" borderId="17" xfId="0" applyFont="1" applyFill="1" applyBorder="1" applyAlignment="1" applyProtection="1">
      <alignment horizontal="center"/>
    </xf>
    <xf numFmtId="0" fontId="15" fillId="4" borderId="10" xfId="0" applyFont="1" applyFill="1" applyBorder="1" applyAlignment="1">
      <alignment horizontal="left"/>
    </xf>
    <xf numFmtId="43" fontId="15" fillId="4" borderId="17" xfId="2" applyFont="1" applyFill="1" applyBorder="1" applyAlignment="1" applyProtection="1">
      <alignment horizontal="center"/>
      <protection locked="0"/>
    </xf>
    <xf numFmtId="0" fontId="15" fillId="4" borderId="11" xfId="0" applyFont="1" applyFill="1" applyBorder="1" applyAlignment="1">
      <alignment horizontal="left"/>
    </xf>
    <xf numFmtId="43" fontId="15" fillId="4" borderId="23" xfId="2" applyFont="1" applyFill="1" applyBorder="1" applyAlignment="1" applyProtection="1">
      <alignment horizontal="center"/>
      <protection locked="0"/>
    </xf>
    <xf numFmtId="43" fontId="15" fillId="0" borderId="0" xfId="2" applyFont="1"/>
    <xf numFmtId="43" fontId="2" fillId="2" borderId="5" xfId="2" applyNumberFormat="1" applyFont="1" applyFill="1" applyBorder="1" applyAlignment="1" applyProtection="1">
      <alignment horizontal="center"/>
      <protection locked="0"/>
    </xf>
    <xf numFmtId="166" fontId="2" fillId="2" borderId="5" xfId="2" applyNumberFormat="1" applyFont="1" applyFill="1" applyBorder="1" applyAlignment="1" applyProtection="1">
      <alignment horizontal="center" vertical="center"/>
      <protection locked="0"/>
    </xf>
    <xf numFmtId="0" fontId="2" fillId="2" borderId="5" xfId="0" applyFont="1" applyFill="1" applyBorder="1" applyAlignment="1" applyProtection="1">
      <alignment horizontal="left"/>
      <protection locked="0"/>
    </xf>
    <xf numFmtId="0" fontId="2" fillId="2" borderId="5" xfId="0" applyFont="1" applyFill="1" applyBorder="1" applyAlignment="1" applyProtection="1">
      <protection locked="0"/>
    </xf>
    <xf numFmtId="0" fontId="15" fillId="3" borderId="15" xfId="0" applyFont="1" applyFill="1" applyBorder="1" applyAlignment="1">
      <alignment horizontal="left" vertical="center" wrapText="1"/>
    </xf>
    <xf numFmtId="0" fontId="15" fillId="3" borderId="12" xfId="0" applyFont="1" applyFill="1" applyBorder="1" applyAlignment="1">
      <alignment horizontal="left" vertical="center" wrapText="1"/>
    </xf>
    <xf numFmtId="0" fontId="15" fillId="3" borderId="12" xfId="0" applyFont="1" applyFill="1" applyBorder="1" applyAlignment="1">
      <alignment horizontal="center" vertical="center" wrapText="1"/>
    </xf>
    <xf numFmtId="0" fontId="15" fillId="3" borderId="12" xfId="0" applyFont="1" applyFill="1" applyBorder="1" applyAlignment="1">
      <alignment horizontal="right" vertical="center" wrapText="1"/>
    </xf>
    <xf numFmtId="0" fontId="15" fillId="3" borderId="13" xfId="0" applyFont="1" applyFill="1" applyBorder="1" applyAlignment="1">
      <alignment horizontal="right" vertical="center" wrapText="1"/>
    </xf>
    <xf numFmtId="0" fontId="18" fillId="0" borderId="0" xfId="0" applyFont="1"/>
    <xf numFmtId="165" fontId="33" fillId="6" borderId="5" xfId="1" applyNumberFormat="1" applyFont="1" applyFill="1" applyBorder="1" applyAlignment="1" applyProtection="1">
      <alignment horizontal="center"/>
      <protection locked="0"/>
    </xf>
    <xf numFmtId="43" fontId="33" fillId="0" borderId="5" xfId="2" applyFont="1" applyFill="1" applyBorder="1" applyAlignment="1" applyProtection="1">
      <alignment horizontal="center"/>
      <protection locked="0"/>
    </xf>
    <xf numFmtId="0" fontId="15" fillId="4" borderId="5" xfId="0" applyFont="1" applyFill="1" applyBorder="1" applyAlignment="1">
      <alignment horizontal="center"/>
    </xf>
    <xf numFmtId="43" fontId="15" fillId="4" borderId="5" xfId="0" applyNumberFormat="1" applyFont="1" applyFill="1" applyBorder="1" applyAlignment="1">
      <alignment horizontal="center"/>
    </xf>
    <xf numFmtId="0" fontId="33" fillId="4" borderId="6" xfId="0" applyFont="1" applyFill="1" applyBorder="1" applyAlignment="1">
      <alignment horizontal="left"/>
    </xf>
    <xf numFmtId="0" fontId="34" fillId="4" borderId="6" xfId="0" applyFont="1" applyFill="1" applyBorder="1" applyAlignment="1">
      <alignment horizontal="left"/>
    </xf>
    <xf numFmtId="43" fontId="33" fillId="8" borderId="5" xfId="2" applyFont="1" applyFill="1" applyBorder="1" applyAlignment="1" applyProtection="1">
      <alignment horizontal="left"/>
    </xf>
    <xf numFmtId="0" fontId="34" fillId="6" borderId="5" xfId="0" applyFont="1" applyFill="1" applyBorder="1" applyAlignment="1" applyProtection="1">
      <alignment horizontal="center"/>
      <protection locked="0"/>
    </xf>
    <xf numFmtId="165" fontId="34" fillId="6" borderId="5" xfId="1" applyNumberFormat="1" applyFont="1" applyFill="1" applyBorder="1" applyAlignment="1" applyProtection="1">
      <alignment horizontal="center"/>
      <protection locked="0"/>
    </xf>
    <xf numFmtId="0" fontId="33" fillId="6" borderId="6" xfId="0" applyFont="1" applyFill="1" applyBorder="1" applyAlignment="1" applyProtection="1">
      <alignment horizontal="left"/>
      <protection locked="0"/>
    </xf>
    <xf numFmtId="0" fontId="15" fillId="4" borderId="5" xfId="0" applyFont="1" applyFill="1" applyBorder="1" applyAlignment="1">
      <alignment horizontal="left"/>
    </xf>
    <xf numFmtId="0" fontId="13" fillId="4" borderId="4" xfId="0" applyFont="1" applyFill="1" applyBorder="1" applyAlignment="1">
      <alignment horizontal="left"/>
    </xf>
    <xf numFmtId="0" fontId="15" fillId="4" borderId="17" xfId="0" applyFont="1" applyFill="1" applyBorder="1" applyAlignment="1">
      <alignment horizontal="left"/>
    </xf>
    <xf numFmtId="43" fontId="33" fillId="4" borderId="5" xfId="2" applyFont="1" applyFill="1" applyBorder="1" applyAlignment="1" applyProtection="1">
      <alignment horizontal="center"/>
      <protection locked="0"/>
    </xf>
    <xf numFmtId="43" fontId="33" fillId="4" borderId="17" xfId="2" applyFont="1" applyFill="1" applyBorder="1" applyAlignment="1" applyProtection="1">
      <alignment horizontal="center"/>
    </xf>
    <xf numFmtId="43" fontId="34" fillId="0" borderId="5" xfId="2" applyFont="1" applyFill="1" applyBorder="1" applyAlignment="1" applyProtection="1">
      <alignment horizontal="center"/>
      <protection locked="0"/>
    </xf>
    <xf numFmtId="43" fontId="35" fillId="4" borderId="16" xfId="2" applyFont="1" applyFill="1" applyBorder="1" applyAlignment="1" applyProtection="1">
      <alignment horizontal="center"/>
    </xf>
    <xf numFmtId="0" fontId="15" fillId="4" borderId="20" xfId="0" applyFont="1" applyFill="1" applyBorder="1" applyAlignment="1">
      <alignment horizontal="left"/>
    </xf>
    <xf numFmtId="43" fontId="3" fillId="4" borderId="20" xfId="2" applyFont="1" applyFill="1" applyBorder="1" applyAlignment="1" applyProtection="1">
      <alignment horizontal="center"/>
      <protection locked="0"/>
    </xf>
    <xf numFmtId="0" fontId="0" fillId="0" borderId="0" xfId="0" applyFont="1"/>
    <xf numFmtId="0" fontId="13" fillId="0" borderId="0" xfId="0" applyFont="1" applyAlignment="1">
      <alignment horizontal="left"/>
    </xf>
    <xf numFmtId="0" fontId="15" fillId="4" borderId="4" xfId="0" applyFont="1" applyFill="1" applyBorder="1" applyAlignment="1" applyProtection="1">
      <alignment horizontal="left"/>
    </xf>
    <xf numFmtId="0" fontId="15" fillId="4" borderId="24" xfId="0" applyFont="1" applyFill="1" applyBorder="1" applyAlignment="1" applyProtection="1">
      <alignment horizontal="left" wrapText="1"/>
    </xf>
    <xf numFmtId="43" fontId="15" fillId="6" borderId="18" xfId="2" applyFont="1" applyFill="1" applyBorder="1" applyAlignment="1" applyProtection="1">
      <alignment horizontal="center"/>
      <protection locked="0"/>
    </xf>
    <xf numFmtId="0" fontId="13" fillId="4" borderId="11" xfId="0" applyFont="1" applyFill="1" applyBorder="1" applyAlignment="1">
      <alignment horizontal="left"/>
    </xf>
    <xf numFmtId="0" fontId="13" fillId="4" borderId="23" xfId="0" applyFont="1" applyFill="1" applyBorder="1" applyAlignment="1">
      <alignment horizontal="center"/>
    </xf>
    <xf numFmtId="43" fontId="13" fillId="4" borderId="23" xfId="2" applyFont="1" applyFill="1" applyBorder="1" applyAlignment="1" applyProtection="1">
      <alignment horizontal="center"/>
      <protection locked="0"/>
    </xf>
    <xf numFmtId="43" fontId="13" fillId="6" borderId="25" xfId="2" applyFont="1" applyFill="1" applyBorder="1" applyAlignment="1" applyProtection="1">
      <alignment horizontal="center"/>
      <protection locked="0"/>
    </xf>
    <xf numFmtId="0" fontId="15" fillId="4" borderId="11" xfId="0" applyFont="1" applyFill="1" applyBorder="1" applyAlignment="1" applyProtection="1">
      <alignment horizontal="left"/>
    </xf>
    <xf numFmtId="0" fontId="15" fillId="4" borderId="26" xfId="0" applyFont="1" applyFill="1" applyBorder="1" applyAlignment="1" applyProtection="1">
      <alignment horizontal="left" wrapText="1"/>
    </xf>
    <xf numFmtId="43" fontId="15" fillId="4" borderId="23" xfId="2" applyFont="1" applyFill="1" applyBorder="1" applyAlignment="1" applyProtection="1">
      <alignment horizontal="center"/>
    </xf>
    <xf numFmtId="43" fontId="15" fillId="6" borderId="25" xfId="2" applyFont="1" applyFill="1" applyBorder="1" applyAlignment="1" applyProtection="1">
      <alignment horizontal="center"/>
      <protection locked="0"/>
    </xf>
    <xf numFmtId="0" fontId="16" fillId="4" borderId="4" xfId="0" applyFont="1" applyFill="1" applyBorder="1" applyAlignment="1">
      <alignment horizontal="left"/>
    </xf>
    <xf numFmtId="0" fontId="16" fillId="4" borderId="5" xfId="0" applyFont="1" applyFill="1" applyBorder="1" applyAlignment="1">
      <alignment horizontal="left"/>
    </xf>
    <xf numFmtId="0" fontId="16" fillId="4" borderId="17" xfId="0" applyFont="1" applyFill="1" applyBorder="1" applyAlignment="1">
      <alignment horizontal="center"/>
    </xf>
    <xf numFmtId="43" fontId="16" fillId="4" borderId="17" xfId="2" applyFont="1" applyFill="1" applyBorder="1" applyAlignment="1" applyProtection="1">
      <alignment horizontal="center"/>
      <protection locked="0"/>
    </xf>
    <xf numFmtId="43" fontId="16" fillId="4" borderId="18" xfId="2" applyFont="1" applyFill="1" applyBorder="1" applyAlignment="1" applyProtection="1">
      <alignment horizontal="center"/>
    </xf>
    <xf numFmtId="0" fontId="16" fillId="4" borderId="6" xfId="0" applyFont="1" applyFill="1" applyBorder="1" applyAlignment="1">
      <alignment horizontal="left"/>
    </xf>
    <xf numFmtId="0" fontId="16" fillId="4" borderId="5" xfId="0" applyFont="1" applyFill="1" applyBorder="1" applyAlignment="1">
      <alignment horizontal="center"/>
    </xf>
    <xf numFmtId="43" fontId="16" fillId="4" borderId="5" xfId="2" applyFont="1" applyFill="1" applyBorder="1" applyAlignment="1" applyProtection="1">
      <alignment horizontal="center"/>
      <protection locked="0"/>
    </xf>
    <xf numFmtId="43" fontId="16" fillId="4" borderId="16" xfId="2" applyFont="1" applyFill="1" applyBorder="1" applyAlignment="1" applyProtection="1">
      <alignment horizontal="center"/>
    </xf>
    <xf numFmtId="43" fontId="35" fillId="4" borderId="18" xfId="2" applyFont="1" applyFill="1" applyBorder="1" applyAlignment="1" applyProtection="1">
      <alignment horizontal="center"/>
    </xf>
    <xf numFmtId="0" fontId="16" fillId="4" borderId="17" xfId="0" applyFont="1" applyFill="1" applyBorder="1" applyAlignment="1">
      <alignment horizontal="left"/>
    </xf>
    <xf numFmtId="43" fontId="15" fillId="4" borderId="18" xfId="2" applyFont="1" applyFill="1" applyBorder="1" applyAlignment="1" applyProtection="1">
      <alignment horizontal="right"/>
    </xf>
    <xf numFmtId="43" fontId="15" fillId="4" borderId="17" xfId="2" applyFont="1" applyFill="1" applyBorder="1" applyAlignment="1" applyProtection="1">
      <alignment horizontal="right"/>
    </xf>
    <xf numFmtId="43" fontId="36" fillId="4" borderId="17" xfId="2" applyFont="1" applyFill="1" applyBorder="1" applyAlignment="1" applyProtection="1">
      <alignment horizontal="center"/>
    </xf>
    <xf numFmtId="166" fontId="15" fillId="6" borderId="17" xfId="2" applyNumberFormat="1" applyFont="1" applyFill="1" applyBorder="1" applyAlignment="1" applyProtection="1">
      <alignment horizontal="center"/>
      <protection locked="0"/>
    </xf>
    <xf numFmtId="0" fontId="37" fillId="0" borderId="0" xfId="0" applyFont="1"/>
    <xf numFmtId="0" fontId="20" fillId="0" borderId="0" xfId="0" applyFont="1" applyAlignment="1">
      <alignment horizontal="justify"/>
    </xf>
    <xf numFmtId="0" fontId="26" fillId="0" borderId="0" xfId="0" applyFont="1" applyAlignment="1">
      <alignment horizontal="justify"/>
    </xf>
    <xf numFmtId="0" fontId="21" fillId="0" borderId="0" xfId="0" applyFont="1" applyAlignment="1">
      <alignment horizontal="justify"/>
    </xf>
    <xf numFmtId="0" fontId="4" fillId="0" borderId="0" xfId="0" applyFont="1" applyAlignment="1">
      <alignment horizontal="justify"/>
    </xf>
    <xf numFmtId="0" fontId="38" fillId="0" borderId="0" xfId="0" applyFont="1" applyAlignment="1">
      <alignment horizontal="justify"/>
    </xf>
    <xf numFmtId="0" fontId="39" fillId="0" borderId="0" xfId="0" applyFont="1"/>
    <xf numFmtId="166" fontId="13" fillId="6" borderId="5" xfId="2" applyNumberFormat="1" applyFont="1" applyFill="1" applyBorder="1" applyAlignment="1" applyProtection="1">
      <alignment horizontal="center"/>
      <protection locked="0"/>
    </xf>
    <xf numFmtId="166" fontId="13" fillId="2" borderId="5" xfId="2" applyNumberFormat="1" applyFont="1" applyFill="1" applyBorder="1" applyAlignment="1" applyProtection="1">
      <alignment horizontal="center" vertical="center"/>
      <protection locked="0"/>
    </xf>
    <xf numFmtId="43" fontId="13" fillId="2" borderId="5" xfId="2" applyNumberFormat="1" applyFont="1" applyFill="1" applyBorder="1" applyAlignment="1" applyProtection="1">
      <alignment horizontal="center"/>
      <protection locked="0"/>
    </xf>
    <xf numFmtId="166" fontId="34" fillId="6" borderId="5" xfId="2" applyNumberFormat="1" applyFont="1" applyFill="1" applyBorder="1" applyProtection="1">
      <protection locked="0"/>
    </xf>
    <xf numFmtId="3" fontId="2" fillId="4" borderId="5" xfId="2" applyNumberFormat="1" applyFont="1" applyFill="1" applyBorder="1" applyAlignment="1" applyProtection="1">
      <alignment horizontal="center"/>
    </xf>
    <xf numFmtId="0" fontId="15" fillId="6" borderId="5" xfId="0" applyFont="1" applyFill="1" applyBorder="1" applyAlignment="1" applyProtection="1">
      <alignment horizontal="center"/>
      <protection locked="0"/>
    </xf>
    <xf numFmtId="166" fontId="15" fillId="6" borderId="19" xfId="2" applyNumberFormat="1" applyFont="1" applyFill="1" applyBorder="1" applyAlignment="1" applyProtection="1">
      <alignment horizontal="center"/>
      <protection locked="0"/>
    </xf>
    <xf numFmtId="0" fontId="40" fillId="4" borderId="6" xfId="0" applyFont="1" applyFill="1" applyBorder="1" applyAlignment="1">
      <alignment horizontal="left"/>
    </xf>
    <xf numFmtId="0" fontId="41" fillId="4" borderId="3" xfId="0" applyFont="1" applyFill="1" applyBorder="1" applyAlignment="1">
      <alignment horizontal="left"/>
    </xf>
    <xf numFmtId="0" fontId="41" fillId="4" borderId="2" xfId="0" applyFont="1" applyFill="1" applyBorder="1" applyAlignment="1">
      <alignment horizontal="left"/>
    </xf>
    <xf numFmtId="0" fontId="41" fillId="4" borderId="4" xfId="0" applyFont="1" applyFill="1" applyBorder="1" applyAlignment="1">
      <alignment horizontal="left"/>
    </xf>
    <xf numFmtId="0" fontId="15" fillId="4" borderId="17" xfId="0" applyFont="1" applyFill="1" applyBorder="1" applyAlignment="1">
      <alignment horizontal="center"/>
    </xf>
    <xf numFmtId="0" fontId="20" fillId="0" borderId="0" xfId="0" applyFont="1" applyAlignment="1">
      <alignment horizontal="justify" vertical="top"/>
    </xf>
    <xf numFmtId="0" fontId="4" fillId="0" borderId="0" xfId="0" applyFont="1" applyAlignment="1">
      <alignment horizontal="center"/>
    </xf>
    <xf numFmtId="0" fontId="21" fillId="0" borderId="0" xfId="0" applyFont="1" applyAlignment="1">
      <alignment horizontal="center"/>
    </xf>
    <xf numFmtId="0" fontId="26" fillId="0" borderId="0" xfId="0" applyFont="1" applyAlignment="1">
      <alignment horizontal="center"/>
    </xf>
    <xf numFmtId="0" fontId="25" fillId="0" borderId="0" xfId="0" applyFont="1" applyAlignment="1">
      <alignment horizontal="center" vertical="top"/>
    </xf>
    <xf numFmtId="0" fontId="25" fillId="0" borderId="0" xfId="0" applyFont="1" applyAlignment="1">
      <alignment horizontal="justify" vertical="top"/>
    </xf>
    <xf numFmtId="0" fontId="6" fillId="0" borderId="0" xfId="0" applyFont="1" applyAlignment="1">
      <alignment horizontal="center"/>
    </xf>
    <xf numFmtId="0" fontId="21" fillId="0" borderId="0" xfId="0" applyFont="1" applyAlignment="1">
      <alignment horizontal="justify" vertical="top"/>
    </xf>
    <xf numFmtId="0" fontId="24" fillId="0" borderId="0" xfId="0" applyFont="1" applyAlignment="1">
      <alignment horizontal="center" vertical="top"/>
    </xf>
    <xf numFmtId="0" fontId="24" fillId="0" borderId="0" xfId="0" applyFont="1" applyAlignment="1">
      <alignment horizontal="justify" vertical="top"/>
    </xf>
  </cellXfs>
  <cellStyles count="3">
    <cellStyle name="Normal" xfId="0" builtinId="0"/>
    <cellStyle name="Porcentagem" xfId="1" builtinId="5"/>
    <cellStyle name="Separador de milhares" xfId="2" builtinId="3"/>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epagri.sc.gov.br/" TargetMode="External"/><Relationship Id="rId2" Type="http://schemas.openxmlformats.org/officeDocument/2006/relationships/hyperlink" Target="http://cepa.epagri.sc.gov.br/agroindicadores/custos/custo10/Arroz.xls" TargetMode="External"/><Relationship Id="rId1" Type="http://schemas.openxmlformats.org/officeDocument/2006/relationships/hyperlink" Target="http://www.epagri.sc.gov.br/"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www.epagri.sc.gov.br/" TargetMode="External"/><Relationship Id="rId2" Type="http://schemas.openxmlformats.org/officeDocument/2006/relationships/hyperlink" Target="http://cepa.epagri.sc.gov.br/agroindicadores/custos/custo10/Arroz.xls" TargetMode="External"/><Relationship Id="rId1" Type="http://schemas.openxmlformats.org/officeDocument/2006/relationships/hyperlink" Target="http://www.epagri.sc.gov.br/" TargetMode="External"/><Relationship Id="rId5" Type="http://schemas.openxmlformats.org/officeDocument/2006/relationships/printerSettings" Target="../printerSettings/printerSettings3.bin"/><Relationship Id="rId4" Type="http://schemas.openxmlformats.org/officeDocument/2006/relationships/hyperlink" Target="http://cepa.epagri.sc.gov.br/agroindicadores/custos/custo10/Arroz.xls" TargetMode="External"/></Relationships>
</file>

<file path=xl/worksheets/sheet1.xml><?xml version="1.0" encoding="utf-8"?>
<worksheet xmlns="http://schemas.openxmlformats.org/spreadsheetml/2006/main" xmlns:r="http://schemas.openxmlformats.org/officeDocument/2006/relationships">
  <sheetPr codeName="Plan1"/>
  <dimension ref="A1:H347"/>
  <sheetViews>
    <sheetView showGridLines="0" zoomScale="130" zoomScaleNormal="130" workbookViewId="0">
      <pane ySplit="4" topLeftCell="A97" activePane="bottomLeft" state="frozen"/>
      <selection pane="bottomLeft" activeCell="D109" sqref="D109"/>
    </sheetView>
  </sheetViews>
  <sheetFormatPr defaultColWidth="11.5546875" defaultRowHeight="15"/>
  <cols>
    <col min="1" max="1" width="19.6640625" style="1" customWidth="1"/>
    <col min="2" max="2" width="22.6640625" style="1" customWidth="1"/>
    <col min="3" max="3" width="5.33203125" style="1" customWidth="1"/>
    <col min="4" max="4" width="6.21875" style="4" customWidth="1"/>
    <col min="5" max="5" width="8.21875" style="4" customWidth="1"/>
    <col min="6" max="6" width="9.21875" style="4" customWidth="1"/>
    <col min="7" max="7" width="11.5546875" customWidth="1"/>
  </cols>
  <sheetData>
    <row r="1" spans="1:6">
      <c r="A1" s="1" t="s">
        <v>298</v>
      </c>
    </row>
    <row r="2" spans="1:6" ht="13.5" customHeight="1">
      <c r="A2" s="5" t="s">
        <v>301</v>
      </c>
      <c r="B2" s="2"/>
      <c r="C2" s="2"/>
      <c r="D2" s="3"/>
      <c r="E2" s="3"/>
      <c r="F2" s="3"/>
    </row>
    <row r="3" spans="1:6" ht="13.5" customHeight="1" thickBot="1">
      <c r="A3" s="5"/>
      <c r="B3" s="2"/>
      <c r="C3" s="2"/>
      <c r="D3" s="3"/>
      <c r="E3" s="3"/>
      <c r="F3" s="3"/>
    </row>
    <row r="4" spans="1:6" ht="39.75" thickTop="1" thickBot="1">
      <c r="A4" s="48" t="s">
        <v>18</v>
      </c>
      <c r="B4" s="43" t="s">
        <v>0</v>
      </c>
      <c r="C4" s="54" t="s">
        <v>137</v>
      </c>
      <c r="D4" s="44" t="s">
        <v>136</v>
      </c>
      <c r="E4" s="44" t="s">
        <v>19</v>
      </c>
      <c r="F4" s="45" t="s">
        <v>20</v>
      </c>
    </row>
    <row r="5" spans="1:6" ht="14.1" customHeight="1">
      <c r="A5" s="49"/>
      <c r="B5" s="6"/>
      <c r="C5" s="46"/>
      <c r="D5" s="42"/>
      <c r="E5" s="42"/>
      <c r="F5" s="47"/>
    </row>
    <row r="6" spans="1:6" ht="14.1" customHeight="1">
      <c r="A6" s="8" t="s">
        <v>21</v>
      </c>
      <c r="B6" s="55"/>
      <c r="C6" s="55"/>
      <c r="D6" s="56"/>
      <c r="E6" s="56"/>
      <c r="F6" s="57">
        <f>ROUND((F7+F43+F59+F69+F70+F72+F74+F79+F82),2)</f>
        <v>3162.86</v>
      </c>
    </row>
    <row r="7" spans="1:6" s="33" customFormat="1" ht="14.1" customHeight="1">
      <c r="A7" s="11" t="s">
        <v>6</v>
      </c>
      <c r="B7" s="58"/>
      <c r="C7" s="58"/>
      <c r="D7" s="58"/>
      <c r="E7" s="59"/>
      <c r="F7" s="60">
        <f>SUM(F8:F42)</f>
        <v>1655.035875</v>
      </c>
    </row>
    <row r="8" spans="1:6" ht="14.1" customHeight="1">
      <c r="A8" s="12" t="s">
        <v>22</v>
      </c>
      <c r="B8" s="264" t="s">
        <v>14</v>
      </c>
      <c r="C8" s="61" t="s">
        <v>2</v>
      </c>
      <c r="D8" s="62">
        <v>45</v>
      </c>
      <c r="E8" s="65">
        <v>13.4</v>
      </c>
      <c r="F8" s="64">
        <f t="shared" ref="F8:F24" si="0">(D8*E8)</f>
        <v>603</v>
      </c>
    </row>
    <row r="9" spans="1:6" ht="14.1" customHeight="1">
      <c r="A9" s="12" t="s">
        <v>23</v>
      </c>
      <c r="B9" s="264" t="s">
        <v>40</v>
      </c>
      <c r="C9" s="61" t="s">
        <v>2</v>
      </c>
      <c r="D9" s="62">
        <v>275</v>
      </c>
      <c r="E9" s="65">
        <v>1.1399999999999999</v>
      </c>
      <c r="F9" s="64">
        <f t="shared" si="0"/>
        <v>313.5</v>
      </c>
    </row>
    <row r="10" spans="1:6" ht="14.1" customHeight="1">
      <c r="A10" s="12" t="s">
        <v>24</v>
      </c>
      <c r="B10" s="264" t="s">
        <v>3</v>
      </c>
      <c r="C10" s="61" t="s">
        <v>2</v>
      </c>
      <c r="D10" s="62">
        <v>230</v>
      </c>
      <c r="E10" s="65">
        <v>1.28</v>
      </c>
      <c r="F10" s="64">
        <f t="shared" si="0"/>
        <v>294.40000000000003</v>
      </c>
    </row>
    <row r="11" spans="1:6" ht="14.1" customHeight="1">
      <c r="A11" s="12" t="s">
        <v>25</v>
      </c>
      <c r="B11" s="264" t="s">
        <v>230</v>
      </c>
      <c r="C11" s="61" t="s">
        <v>5</v>
      </c>
      <c r="D11" s="62">
        <v>5</v>
      </c>
      <c r="E11" s="65">
        <v>18.97</v>
      </c>
      <c r="F11" s="64">
        <f t="shared" si="0"/>
        <v>94.85</v>
      </c>
    </row>
    <row r="12" spans="1:6" ht="14.1" customHeight="1">
      <c r="A12" s="12"/>
      <c r="B12" s="264" t="s">
        <v>231</v>
      </c>
      <c r="C12" s="61" t="s">
        <v>5</v>
      </c>
      <c r="D12" s="65">
        <v>1.5</v>
      </c>
      <c r="E12" s="65">
        <v>69.66</v>
      </c>
      <c r="F12" s="64">
        <f t="shared" si="0"/>
        <v>104.49</v>
      </c>
    </row>
    <row r="13" spans="1:6" ht="14.1" customHeight="1">
      <c r="A13" s="12"/>
      <c r="B13" s="264" t="s">
        <v>232</v>
      </c>
      <c r="C13" s="61" t="s">
        <v>5</v>
      </c>
      <c r="D13" s="262">
        <v>0.5</v>
      </c>
      <c r="E13" s="65">
        <v>14.65</v>
      </c>
      <c r="F13" s="64">
        <f t="shared" si="0"/>
        <v>7.3250000000000002</v>
      </c>
    </row>
    <row r="14" spans="1:6" ht="14.1" customHeight="1">
      <c r="A14" s="12"/>
      <c r="B14" s="264"/>
      <c r="C14" s="61"/>
      <c r="D14" s="262"/>
      <c r="E14" s="65"/>
      <c r="F14" s="64">
        <f>D14*E14</f>
        <v>0</v>
      </c>
    </row>
    <row r="15" spans="1:6" ht="14.1" customHeight="1">
      <c r="A15" s="12"/>
      <c r="B15" s="264"/>
      <c r="C15" s="61"/>
      <c r="D15" s="262"/>
      <c r="E15" s="65"/>
      <c r="F15" s="64">
        <f>D15*E15</f>
        <v>0</v>
      </c>
    </row>
    <row r="16" spans="1:6" ht="14.1" customHeight="1">
      <c r="A16" s="12"/>
      <c r="B16" s="264"/>
      <c r="C16" s="61"/>
      <c r="D16" s="262"/>
      <c r="E16" s="65"/>
      <c r="F16" s="64">
        <f>D16*E16</f>
        <v>0</v>
      </c>
    </row>
    <row r="17" spans="1:6" ht="14.1" customHeight="1">
      <c r="A17" s="23"/>
      <c r="B17" s="264"/>
      <c r="C17" s="61"/>
      <c r="D17" s="62"/>
      <c r="E17" s="65"/>
      <c r="F17" s="64">
        <f t="shared" si="0"/>
        <v>0</v>
      </c>
    </row>
    <row r="18" spans="1:6" ht="14.1" customHeight="1">
      <c r="A18" s="23"/>
      <c r="B18" s="264"/>
      <c r="C18" s="61"/>
      <c r="D18" s="62"/>
      <c r="E18" s="65"/>
      <c r="F18" s="64">
        <f t="shared" si="0"/>
        <v>0</v>
      </c>
    </row>
    <row r="19" spans="1:6" ht="14.1" customHeight="1">
      <c r="A19" s="23"/>
      <c r="B19" s="264"/>
      <c r="C19" s="61"/>
      <c r="D19" s="62"/>
      <c r="E19" s="65"/>
      <c r="F19" s="64">
        <f t="shared" si="0"/>
        <v>0</v>
      </c>
    </row>
    <row r="20" spans="1:6" ht="14.1" customHeight="1">
      <c r="A20" s="12" t="s">
        <v>26</v>
      </c>
      <c r="B20" s="264" t="s">
        <v>87</v>
      </c>
      <c r="C20" s="61" t="s">
        <v>2</v>
      </c>
      <c r="D20" s="65"/>
      <c r="E20" s="65"/>
      <c r="F20" s="64">
        <f t="shared" si="0"/>
        <v>0</v>
      </c>
    </row>
    <row r="21" spans="1:6" ht="14.1" customHeight="1">
      <c r="A21" s="12"/>
      <c r="B21" s="264" t="s">
        <v>4</v>
      </c>
      <c r="C21" s="61" t="s">
        <v>2</v>
      </c>
      <c r="D21" s="62"/>
      <c r="E21" s="65"/>
      <c r="F21" s="64">
        <f t="shared" si="0"/>
        <v>0</v>
      </c>
    </row>
    <row r="22" spans="1:6" ht="14.1" customHeight="1">
      <c r="A22" s="12"/>
      <c r="B22" s="264"/>
      <c r="C22" s="61"/>
      <c r="D22" s="62"/>
      <c r="E22" s="65"/>
      <c r="F22" s="64">
        <f>D22*E22</f>
        <v>0</v>
      </c>
    </row>
    <row r="23" spans="1:6" ht="14.1" customHeight="1">
      <c r="A23" s="12"/>
      <c r="B23" s="264"/>
      <c r="C23" s="61"/>
      <c r="D23" s="62"/>
      <c r="E23" s="65"/>
      <c r="F23" s="64">
        <f>D23*E23</f>
        <v>0</v>
      </c>
    </row>
    <row r="24" spans="1:6" ht="14.1" customHeight="1">
      <c r="A24" s="12"/>
      <c r="B24" s="264"/>
      <c r="C24" s="61"/>
      <c r="D24" s="62"/>
      <c r="E24" s="65"/>
      <c r="F24" s="64">
        <f t="shared" si="0"/>
        <v>0</v>
      </c>
    </row>
    <row r="25" spans="1:6" ht="14.1" customHeight="1">
      <c r="A25" s="12"/>
      <c r="B25" s="264"/>
      <c r="C25" s="61"/>
      <c r="D25" s="62"/>
      <c r="E25" s="65"/>
      <c r="F25" s="64">
        <f>(D25*E25)</f>
        <v>0</v>
      </c>
    </row>
    <row r="26" spans="1:6" ht="14.1" customHeight="1">
      <c r="A26" s="12" t="s">
        <v>44</v>
      </c>
      <c r="B26" s="264" t="s">
        <v>45</v>
      </c>
      <c r="C26" s="61" t="s">
        <v>2</v>
      </c>
      <c r="D26" s="62">
        <v>0.25</v>
      </c>
      <c r="E26" s="65">
        <v>139.6</v>
      </c>
      <c r="F26" s="64">
        <f>(D26*E26)</f>
        <v>34.9</v>
      </c>
    </row>
    <row r="27" spans="1:6" ht="14.1" customHeight="1">
      <c r="A27" s="23"/>
      <c r="B27" s="265" t="s">
        <v>233</v>
      </c>
      <c r="C27" s="61" t="s">
        <v>5</v>
      </c>
      <c r="D27" s="62">
        <v>0.8</v>
      </c>
      <c r="E27" s="65">
        <v>21.6</v>
      </c>
      <c r="F27" s="64">
        <f>D27*E27</f>
        <v>17.28</v>
      </c>
    </row>
    <row r="28" spans="1:6" ht="14.1" customHeight="1">
      <c r="A28" s="23"/>
      <c r="B28" s="265"/>
      <c r="C28" s="61"/>
      <c r="D28" s="62"/>
      <c r="E28" s="65"/>
      <c r="F28" s="64">
        <f>D28*E28</f>
        <v>0</v>
      </c>
    </row>
    <row r="29" spans="1:6" ht="14.1" customHeight="1">
      <c r="A29" s="23"/>
      <c r="B29" s="265"/>
      <c r="C29" s="61"/>
      <c r="D29" s="62"/>
      <c r="E29" s="65"/>
      <c r="F29" s="64">
        <f>D29*E29</f>
        <v>0</v>
      </c>
    </row>
    <row r="30" spans="1:6" ht="14.1" customHeight="1">
      <c r="A30" s="23"/>
      <c r="B30" s="265"/>
      <c r="C30" s="61"/>
      <c r="D30" s="62"/>
      <c r="E30" s="65"/>
      <c r="F30" s="64">
        <f>D30*E30</f>
        <v>0</v>
      </c>
    </row>
    <row r="31" spans="1:6" ht="14.1" customHeight="1">
      <c r="A31" s="23"/>
      <c r="B31" s="265"/>
      <c r="C31" s="61"/>
      <c r="D31" s="62"/>
      <c r="E31" s="65"/>
      <c r="F31" s="64">
        <f>(D31*E31)</f>
        <v>0</v>
      </c>
    </row>
    <row r="32" spans="1:6" ht="14.1" customHeight="1">
      <c r="A32" s="23" t="s">
        <v>93</v>
      </c>
      <c r="B32" s="140" t="s">
        <v>148</v>
      </c>
      <c r="C32" s="67" t="s">
        <v>5</v>
      </c>
      <c r="D32" s="68">
        <f>D155*D156</f>
        <v>58.5</v>
      </c>
      <c r="E32" s="65">
        <v>2.31</v>
      </c>
      <c r="F32" s="64">
        <f>(D32*E32)</f>
        <v>135.13499999999999</v>
      </c>
    </row>
    <row r="33" spans="1:6" s="29" customFormat="1" ht="14.1" customHeight="1">
      <c r="A33" s="12"/>
      <c r="B33" s="134" t="s">
        <v>273</v>
      </c>
      <c r="C33" s="58"/>
      <c r="D33" s="69"/>
      <c r="E33" s="58"/>
      <c r="F33" s="64"/>
    </row>
    <row r="34" spans="1:6" ht="14.1" customHeight="1">
      <c r="A34" s="23" t="s">
        <v>94</v>
      </c>
      <c r="B34" s="160" t="s">
        <v>196</v>
      </c>
      <c r="C34" s="58"/>
      <c r="D34" s="69"/>
      <c r="E34" s="58"/>
      <c r="F34" s="64">
        <f>(0.15*F32)</f>
        <v>20.270249999999997</v>
      </c>
    </row>
    <row r="35" spans="1:6" ht="14.1" customHeight="1">
      <c r="A35" s="23" t="s">
        <v>209</v>
      </c>
      <c r="B35" s="140" t="s">
        <v>148</v>
      </c>
      <c r="C35" s="58" t="s">
        <v>5</v>
      </c>
      <c r="D35" s="69">
        <f>D164*D165</f>
        <v>11.25</v>
      </c>
      <c r="E35" s="73">
        <v>2.31</v>
      </c>
      <c r="F35" s="70">
        <f>D35*E35</f>
        <v>25.987500000000001</v>
      </c>
    </row>
    <row r="36" spans="1:6" ht="14.1" customHeight="1">
      <c r="A36" s="23"/>
      <c r="B36" s="134" t="s">
        <v>386</v>
      </c>
      <c r="C36" s="58"/>
      <c r="D36" s="69"/>
      <c r="E36" s="58"/>
      <c r="F36" s="70"/>
    </row>
    <row r="37" spans="1:6" ht="14.1" customHeight="1">
      <c r="A37" s="23" t="s">
        <v>210</v>
      </c>
      <c r="B37" s="160" t="s">
        <v>214</v>
      </c>
      <c r="C37" s="58"/>
      <c r="D37" s="69"/>
      <c r="E37" s="58"/>
      <c r="F37" s="70">
        <f>0.15*F35</f>
        <v>3.8981249999999998</v>
      </c>
    </row>
    <row r="38" spans="1:6" ht="14.1" customHeight="1">
      <c r="A38" s="164"/>
      <c r="B38" s="160" t="s">
        <v>215</v>
      </c>
      <c r="C38" s="55"/>
      <c r="D38" s="69"/>
      <c r="E38" s="58"/>
      <c r="F38" s="165">
        <f>(D38*E38)</f>
        <v>0</v>
      </c>
    </row>
    <row r="39" spans="1:6" s="30" customFormat="1" ht="14.1" customHeight="1">
      <c r="A39" s="199" t="s">
        <v>259</v>
      </c>
      <c r="B39" s="134" t="s">
        <v>387</v>
      </c>
      <c r="C39" s="76" t="s">
        <v>5</v>
      </c>
      <c r="D39" s="201">
        <f>D167*D168</f>
        <v>18.7</v>
      </c>
      <c r="E39" s="73">
        <v>0</v>
      </c>
      <c r="F39" s="202">
        <f>D39*E39</f>
        <v>0</v>
      </c>
    </row>
    <row r="40" spans="1:6" s="30" customFormat="1" ht="14.1" customHeight="1">
      <c r="A40" s="199" t="s">
        <v>260</v>
      </c>
      <c r="B40" s="160" t="s">
        <v>266</v>
      </c>
      <c r="C40" s="189"/>
      <c r="D40" s="201"/>
      <c r="E40" s="76"/>
      <c r="F40" s="202">
        <f>0.15*F39</f>
        <v>0</v>
      </c>
    </row>
    <row r="41" spans="1:6" ht="14.1" customHeight="1">
      <c r="A41" s="164" t="s">
        <v>213</v>
      </c>
      <c r="B41" s="161"/>
      <c r="C41" s="71"/>
      <c r="D41" s="72"/>
      <c r="E41" s="73"/>
      <c r="F41" s="70">
        <f>(D41*E41)</f>
        <v>0</v>
      </c>
    </row>
    <row r="42" spans="1:6" ht="14.1" customHeight="1">
      <c r="A42" s="124"/>
      <c r="B42" s="162"/>
      <c r="C42" s="71"/>
      <c r="D42" s="72"/>
      <c r="E42" s="73"/>
      <c r="F42" s="70">
        <f>(D42*E42)</f>
        <v>0</v>
      </c>
    </row>
    <row r="43" spans="1:6" s="33" customFormat="1" ht="14.1" customHeight="1">
      <c r="A43" s="11" t="s">
        <v>17</v>
      </c>
      <c r="B43" s="76"/>
      <c r="C43" s="76"/>
      <c r="D43" s="76"/>
      <c r="E43" s="76"/>
      <c r="F43" s="60">
        <f>SUM(F44:F58)</f>
        <v>488.50359090909097</v>
      </c>
    </row>
    <row r="44" spans="1:6" ht="14.1" customHeight="1">
      <c r="A44" s="12" t="s">
        <v>27</v>
      </c>
      <c r="B44" s="163"/>
      <c r="C44" s="61" t="s">
        <v>138</v>
      </c>
      <c r="D44" s="62">
        <v>0.1</v>
      </c>
      <c r="E44" s="65">
        <v>74.930000000000007</v>
      </c>
      <c r="F44" s="64">
        <f>(E44*D44)</f>
        <v>7.4930000000000012</v>
      </c>
    </row>
    <row r="45" spans="1:6" ht="14.1" customHeight="1">
      <c r="A45" s="12" t="s">
        <v>28</v>
      </c>
      <c r="B45" s="163"/>
      <c r="C45" s="61" t="s">
        <v>138</v>
      </c>
      <c r="D45" s="62">
        <v>0</v>
      </c>
      <c r="E45" s="65">
        <f>E44</f>
        <v>74.930000000000007</v>
      </c>
      <c r="F45" s="64">
        <f t="shared" ref="F45:F53" si="1">(E45*D45)</f>
        <v>0</v>
      </c>
    </row>
    <row r="46" spans="1:6" ht="14.1" customHeight="1">
      <c r="A46" s="12" t="s">
        <v>29</v>
      </c>
      <c r="B46" s="163"/>
      <c r="C46" s="61" t="s">
        <v>138</v>
      </c>
      <c r="D46" s="62">
        <v>0.5</v>
      </c>
      <c r="E46" s="65">
        <f>E44</f>
        <v>74.930000000000007</v>
      </c>
      <c r="F46" s="64">
        <f t="shared" si="1"/>
        <v>37.465000000000003</v>
      </c>
    </row>
    <row r="47" spans="1:6" ht="14.1" customHeight="1">
      <c r="A47" s="12" t="s">
        <v>33</v>
      </c>
      <c r="B47" s="131" t="s">
        <v>15</v>
      </c>
      <c r="C47" s="61" t="s">
        <v>138</v>
      </c>
      <c r="D47" s="62">
        <v>0.5</v>
      </c>
      <c r="E47" s="65">
        <f>E44</f>
        <v>74.930000000000007</v>
      </c>
      <c r="F47" s="64">
        <f t="shared" si="1"/>
        <v>37.465000000000003</v>
      </c>
    </row>
    <row r="48" spans="1:6" s="37" customFormat="1">
      <c r="A48" s="36" t="s">
        <v>175</v>
      </c>
      <c r="B48" s="132"/>
      <c r="C48" s="77" t="s">
        <v>138</v>
      </c>
      <c r="D48" s="263">
        <v>2</v>
      </c>
      <c r="E48" s="78">
        <f>E44</f>
        <v>74.930000000000007</v>
      </c>
      <c r="F48" s="79">
        <f t="shared" si="1"/>
        <v>149.86000000000001</v>
      </c>
    </row>
    <row r="49" spans="1:8" ht="14.1" customHeight="1">
      <c r="A49" s="12" t="s">
        <v>30</v>
      </c>
      <c r="B49" s="130"/>
      <c r="C49" s="61" t="s">
        <v>138</v>
      </c>
      <c r="D49" s="62">
        <v>1</v>
      </c>
      <c r="E49" s="65">
        <f>E44</f>
        <v>74.930000000000007</v>
      </c>
      <c r="F49" s="64">
        <f t="shared" si="1"/>
        <v>74.930000000000007</v>
      </c>
    </row>
    <row r="50" spans="1:8" ht="14.1" customHeight="1">
      <c r="A50" s="12" t="s">
        <v>31</v>
      </c>
      <c r="B50" s="130"/>
      <c r="C50" s="61" t="s">
        <v>138</v>
      </c>
      <c r="D50" s="62">
        <v>0.3</v>
      </c>
      <c r="E50" s="65">
        <f>E44</f>
        <v>74.930000000000007</v>
      </c>
      <c r="F50" s="64">
        <f t="shared" si="1"/>
        <v>22.479000000000003</v>
      </c>
    </row>
    <row r="51" spans="1:8" ht="14.1" customHeight="1">
      <c r="A51" s="12" t="s">
        <v>32</v>
      </c>
      <c r="B51" s="131" t="s">
        <v>15</v>
      </c>
      <c r="C51" s="61" t="s">
        <v>138</v>
      </c>
      <c r="D51" s="62">
        <v>0</v>
      </c>
      <c r="E51" s="65">
        <f>E44</f>
        <v>74.930000000000007</v>
      </c>
      <c r="F51" s="64">
        <f t="shared" si="1"/>
        <v>0</v>
      </c>
    </row>
    <row r="52" spans="1:8" ht="14.1" customHeight="1">
      <c r="A52" s="12" t="s">
        <v>118</v>
      </c>
      <c r="B52" s="130" t="s">
        <v>7</v>
      </c>
      <c r="C52" s="61" t="s">
        <v>138</v>
      </c>
      <c r="D52" s="62">
        <v>0.5</v>
      </c>
      <c r="E52" s="65">
        <f>E44</f>
        <v>74.930000000000007</v>
      </c>
      <c r="F52" s="64">
        <f t="shared" si="1"/>
        <v>37.465000000000003</v>
      </c>
    </row>
    <row r="53" spans="1:8" ht="14.1" customHeight="1">
      <c r="A53" s="12" t="s">
        <v>95</v>
      </c>
      <c r="B53" s="131" t="s">
        <v>149</v>
      </c>
      <c r="C53" s="80" t="s">
        <v>143</v>
      </c>
      <c r="D53" s="58">
        <f>D155</f>
        <v>6.5</v>
      </c>
      <c r="E53" s="69">
        <f>2*1.75*F172/176</f>
        <v>13.482954545454545</v>
      </c>
      <c r="F53" s="64">
        <f t="shared" si="1"/>
        <v>87.639204545454547</v>
      </c>
    </row>
    <row r="54" spans="1:8" ht="14.1" customHeight="1">
      <c r="A54" s="123"/>
      <c r="B54" s="134" t="s">
        <v>188</v>
      </c>
      <c r="C54" s="61"/>
      <c r="D54" s="58"/>
      <c r="E54" s="69"/>
      <c r="F54" s="64">
        <f>D54*E54</f>
        <v>0</v>
      </c>
    </row>
    <row r="55" spans="1:8" ht="14.1" customHeight="1">
      <c r="A55" s="12" t="s">
        <v>211</v>
      </c>
      <c r="B55" s="131" t="s">
        <v>149</v>
      </c>
      <c r="C55" s="61" t="s">
        <v>143</v>
      </c>
      <c r="D55" s="58">
        <f>D164</f>
        <v>2.5</v>
      </c>
      <c r="E55" s="69">
        <f>2*1.75*F172/176</f>
        <v>13.482954545454545</v>
      </c>
      <c r="F55" s="64">
        <f>D55*E55</f>
        <v>33.70738636363636</v>
      </c>
    </row>
    <row r="56" spans="1:8" ht="14.1" customHeight="1">
      <c r="A56" s="123"/>
      <c r="B56" s="134" t="s">
        <v>188</v>
      </c>
      <c r="C56" s="81"/>
      <c r="D56" s="58"/>
      <c r="E56" s="69"/>
      <c r="F56" s="64">
        <f>D56*E56</f>
        <v>0</v>
      </c>
    </row>
    <row r="57" spans="1:8" ht="14.1" customHeight="1">
      <c r="A57" s="219" t="s">
        <v>267</v>
      </c>
      <c r="B57" s="133" t="s">
        <v>253</v>
      </c>
      <c r="C57" s="207" t="s">
        <v>143</v>
      </c>
      <c r="D57" s="82">
        <v>0</v>
      </c>
      <c r="E57" s="56">
        <f>2*1.75*F172/176</f>
        <v>13.482954545454545</v>
      </c>
      <c r="F57" s="64">
        <f>D57*E57</f>
        <v>0</v>
      </c>
      <c r="H57" t="s">
        <v>282</v>
      </c>
    </row>
    <row r="58" spans="1:8" ht="14.1" customHeight="1">
      <c r="A58" s="125"/>
      <c r="B58" s="133"/>
      <c r="C58" s="71"/>
      <c r="D58" s="72"/>
      <c r="E58" s="73"/>
      <c r="F58" s="64">
        <f>D58*E58</f>
        <v>0</v>
      </c>
    </row>
    <row r="59" spans="1:8" s="33" customFormat="1" ht="14.1" customHeight="1">
      <c r="A59" s="11" t="s">
        <v>272</v>
      </c>
      <c r="B59" s="76" t="s">
        <v>7</v>
      </c>
      <c r="C59" s="76"/>
      <c r="D59" s="76" t="s">
        <v>8</v>
      </c>
      <c r="E59" s="76"/>
      <c r="F59" s="60">
        <f>SUM(F60:F68)</f>
        <v>504.64</v>
      </c>
    </row>
    <row r="60" spans="1:8" ht="14.1" customHeight="1">
      <c r="A60" s="12" t="s">
        <v>34</v>
      </c>
      <c r="B60" s="76"/>
      <c r="C60" s="61" t="s">
        <v>139</v>
      </c>
      <c r="D60" s="72">
        <v>2</v>
      </c>
      <c r="E60" s="83">
        <f>F174</f>
        <v>32</v>
      </c>
      <c r="F60" s="64">
        <f>(E60*D60)</f>
        <v>64</v>
      </c>
      <c r="H60" s="24"/>
    </row>
    <row r="61" spans="1:8" ht="14.1" customHeight="1">
      <c r="A61" s="277" t="s">
        <v>183</v>
      </c>
      <c r="B61" s="278" t="s">
        <v>185</v>
      </c>
      <c r="C61" s="279" t="s">
        <v>91</v>
      </c>
      <c r="D61" s="329">
        <v>10</v>
      </c>
      <c r="E61" s="167">
        <f>F173*F174</f>
        <v>4406.3999999999996</v>
      </c>
      <c r="F61" s="168">
        <f>(E61*D61)/100</f>
        <v>440.64</v>
      </c>
      <c r="H61" s="24"/>
    </row>
    <row r="62" spans="1:8" ht="14.1" customHeight="1">
      <c r="A62" s="23" t="s">
        <v>131</v>
      </c>
      <c r="B62" s="76" t="s">
        <v>234</v>
      </c>
      <c r="C62" s="113" t="s">
        <v>143</v>
      </c>
      <c r="D62" s="114">
        <v>3</v>
      </c>
      <c r="E62" s="85">
        <v>0</v>
      </c>
      <c r="F62" s="168">
        <f>D62*E62</f>
        <v>0</v>
      </c>
      <c r="H62" s="24"/>
    </row>
    <row r="63" spans="1:8" ht="14.1" customHeight="1">
      <c r="A63" s="23" t="s">
        <v>235</v>
      </c>
      <c r="B63" s="76" t="s">
        <v>236</v>
      </c>
      <c r="C63" s="113" t="s">
        <v>143</v>
      </c>
      <c r="D63" s="114">
        <v>1.3</v>
      </c>
      <c r="E63" s="85">
        <v>0</v>
      </c>
      <c r="F63" s="168">
        <f>D63*E63</f>
        <v>0</v>
      </c>
      <c r="H63" s="24"/>
    </row>
    <row r="64" spans="1:8" ht="14.1" customHeight="1">
      <c r="A64" s="23" t="s">
        <v>237</v>
      </c>
      <c r="B64" s="76" t="s">
        <v>238</v>
      </c>
      <c r="C64" s="113" t="s">
        <v>143</v>
      </c>
      <c r="D64" s="114">
        <v>0.5</v>
      </c>
      <c r="E64" s="85">
        <v>0</v>
      </c>
      <c r="F64" s="168">
        <f>D64*E64</f>
        <v>0</v>
      </c>
      <c r="H64" s="24"/>
    </row>
    <row r="65" spans="1:8" ht="14.1" customHeight="1">
      <c r="A65" s="23" t="s">
        <v>132</v>
      </c>
      <c r="B65" s="76" t="s">
        <v>99</v>
      </c>
      <c r="C65" s="113" t="s">
        <v>143</v>
      </c>
      <c r="D65" s="114">
        <v>0.1</v>
      </c>
      <c r="E65" s="85">
        <v>0</v>
      </c>
      <c r="F65" s="168">
        <f>D65*E65</f>
        <v>0</v>
      </c>
      <c r="H65" s="24"/>
    </row>
    <row r="66" spans="1:8" ht="14.1" customHeight="1">
      <c r="A66" s="23" t="s">
        <v>207</v>
      </c>
      <c r="B66" s="76" t="s">
        <v>239</v>
      </c>
      <c r="C66" s="113" t="s">
        <v>143</v>
      </c>
      <c r="D66" s="114">
        <v>1.6</v>
      </c>
      <c r="E66" s="85">
        <v>0</v>
      </c>
      <c r="F66" s="168">
        <f>D66*E66</f>
        <v>0</v>
      </c>
      <c r="H66" s="24"/>
    </row>
    <row r="67" spans="1:8" s="30" customFormat="1" ht="14.1" customHeight="1">
      <c r="A67" s="126"/>
      <c r="B67" s="84"/>
      <c r="C67" s="84"/>
      <c r="D67" s="74"/>
      <c r="E67" s="85"/>
      <c r="F67" s="64">
        <f>(E67*D67)</f>
        <v>0</v>
      </c>
    </row>
    <row r="68" spans="1:8" s="30" customFormat="1" ht="14.1" customHeight="1">
      <c r="A68" s="126"/>
      <c r="B68" s="84"/>
      <c r="C68" s="84"/>
      <c r="D68" s="86"/>
      <c r="E68" s="85"/>
      <c r="F68" s="64">
        <f>(E68*D68)</f>
        <v>0</v>
      </c>
    </row>
    <row r="69" spans="1:8" ht="14.1" customHeight="1">
      <c r="A69" s="9" t="s">
        <v>9</v>
      </c>
      <c r="B69" s="87" t="s">
        <v>189</v>
      </c>
      <c r="C69" s="83" t="s">
        <v>91</v>
      </c>
      <c r="D69" s="88">
        <v>1</v>
      </c>
      <c r="E69" s="89">
        <f>F7+F43+F59</f>
        <v>2648.179465909091</v>
      </c>
      <c r="F69" s="90">
        <f>E69*D69/100</f>
        <v>26.481794659090909</v>
      </c>
    </row>
    <row r="70" spans="1:8" ht="14.1" customHeight="1">
      <c r="A70" s="11" t="s">
        <v>16</v>
      </c>
      <c r="B70" s="91" t="s">
        <v>150</v>
      </c>
      <c r="C70" s="83" t="s">
        <v>91</v>
      </c>
      <c r="D70" s="92">
        <v>2</v>
      </c>
      <c r="E70" s="63">
        <f>F7+F43+F59+F69</f>
        <v>2674.6612605681821</v>
      </c>
      <c r="F70" s="60">
        <f>E70*D70/100</f>
        <v>53.493225211363644</v>
      </c>
    </row>
    <row r="71" spans="1:8" s="35" customFormat="1" ht="14.1" customHeight="1">
      <c r="A71" s="10"/>
      <c r="B71" s="53" t="s">
        <v>153</v>
      </c>
      <c r="C71" s="83"/>
      <c r="D71" s="93"/>
      <c r="E71" s="69"/>
      <c r="F71" s="64"/>
    </row>
    <row r="72" spans="1:8" ht="14.1" customHeight="1">
      <c r="A72" s="11" t="s">
        <v>35</v>
      </c>
      <c r="B72" s="94" t="s">
        <v>151</v>
      </c>
      <c r="C72" s="83" t="s">
        <v>91</v>
      </c>
      <c r="D72" s="92">
        <v>1.7</v>
      </c>
      <c r="E72" s="63">
        <f>F7+F43+F59+F69</f>
        <v>2674.6612605681821</v>
      </c>
      <c r="F72" s="60">
        <f>E72*D72/100</f>
        <v>45.469241429659093</v>
      </c>
    </row>
    <row r="73" spans="1:8" s="35" customFormat="1" ht="14.1" customHeight="1">
      <c r="A73" s="12"/>
      <c r="B73" s="94" t="s">
        <v>152</v>
      </c>
      <c r="C73" s="83"/>
      <c r="D73" s="93"/>
      <c r="E73" s="69"/>
      <c r="F73" s="64"/>
    </row>
    <row r="74" spans="1:8" ht="14.1" customHeight="1">
      <c r="A74" s="11" t="s">
        <v>119</v>
      </c>
      <c r="B74" s="66"/>
      <c r="C74" s="67"/>
      <c r="D74" s="63"/>
      <c r="E74" s="63"/>
      <c r="F74" s="60">
        <f>SUM(F75:F77)</f>
        <v>53.885508862913639</v>
      </c>
    </row>
    <row r="75" spans="1:8" ht="14.1" customHeight="1">
      <c r="A75" s="12" t="s">
        <v>37</v>
      </c>
      <c r="B75" s="51" t="s">
        <v>154</v>
      </c>
      <c r="C75" s="67" t="s">
        <v>91</v>
      </c>
      <c r="D75" s="95">
        <v>2</v>
      </c>
      <c r="E75" s="95">
        <v>80</v>
      </c>
      <c r="F75" s="64">
        <f>(+F7+F43+F59+F69)*(D75/100)*(E75/100)*(8/12)</f>
        <v>28.529720112727279</v>
      </c>
    </row>
    <row r="76" spans="1:8" s="30" customFormat="1" ht="14.1" customHeight="1">
      <c r="A76" s="12"/>
      <c r="B76" s="51" t="s">
        <v>155</v>
      </c>
      <c r="C76" s="67"/>
      <c r="D76" s="63"/>
      <c r="E76" s="63"/>
      <c r="F76" s="60"/>
    </row>
    <row r="77" spans="1:8" ht="14.1" customHeight="1">
      <c r="A77" s="12" t="s">
        <v>36</v>
      </c>
      <c r="B77" s="52" t="s">
        <v>156</v>
      </c>
      <c r="C77" s="67" t="s">
        <v>91</v>
      </c>
      <c r="D77" s="95">
        <v>6</v>
      </c>
      <c r="E77" s="95">
        <v>20</v>
      </c>
      <c r="F77" s="64">
        <f>((E77/100)*(F7+F43+F59+F69)+F70+F72)*(D77/100)*(8/12)</f>
        <v>25.355788750186363</v>
      </c>
      <c r="G77" s="13"/>
    </row>
    <row r="78" spans="1:8" s="28" customFormat="1" ht="14.1" customHeight="1">
      <c r="A78" s="12"/>
      <c r="B78" s="52" t="s">
        <v>157</v>
      </c>
      <c r="C78" s="55"/>
      <c r="D78" s="63"/>
      <c r="E78" s="63"/>
      <c r="F78" s="60"/>
      <c r="G78" s="27"/>
    </row>
    <row r="79" spans="1:8" ht="14.1" customHeight="1">
      <c r="A79" s="8" t="s">
        <v>120</v>
      </c>
      <c r="B79" s="135"/>
      <c r="C79" s="67" t="s">
        <v>7</v>
      </c>
      <c r="D79" s="96"/>
      <c r="E79" s="83"/>
      <c r="F79" s="60">
        <f>SUM(F80:F81)</f>
        <v>277.60319999999996</v>
      </c>
    </row>
    <row r="80" spans="1:8" s="28" customFormat="1" ht="14.1" customHeight="1">
      <c r="A80" s="10" t="s">
        <v>184</v>
      </c>
      <c r="B80" s="51" t="s">
        <v>158</v>
      </c>
      <c r="C80" s="67" t="s">
        <v>91</v>
      </c>
      <c r="D80" s="65">
        <v>4</v>
      </c>
      <c r="E80" s="83">
        <f>F177</f>
        <v>4406.3999999999996</v>
      </c>
      <c r="F80" s="64">
        <f>(D80*E80/100)</f>
        <v>176.25599999999997</v>
      </c>
    </row>
    <row r="81" spans="1:8" ht="14.1" customHeight="1">
      <c r="A81" s="12" t="s">
        <v>38</v>
      </c>
      <c r="B81" s="52" t="s">
        <v>146</v>
      </c>
      <c r="C81" s="67" t="s">
        <v>91</v>
      </c>
      <c r="D81" s="65">
        <v>2.2999999999999998</v>
      </c>
      <c r="E81" s="83">
        <f>F173*F174</f>
        <v>4406.3999999999996</v>
      </c>
      <c r="F81" s="64">
        <f>(E81*D81/100)</f>
        <v>101.34719999999997</v>
      </c>
    </row>
    <row r="82" spans="1:8" ht="14.1" customHeight="1">
      <c r="A82" s="8" t="s">
        <v>121</v>
      </c>
      <c r="B82" s="136"/>
      <c r="C82" s="97"/>
      <c r="D82" s="83"/>
      <c r="E82" s="83"/>
      <c r="F82" s="57">
        <f>SUM(F83:F87)</f>
        <v>57.751155000000004</v>
      </c>
    </row>
    <row r="83" spans="1:8" ht="14.1" customHeight="1">
      <c r="A83" s="12" t="s">
        <v>122</v>
      </c>
      <c r="B83" s="51" t="s">
        <v>172</v>
      </c>
      <c r="C83" s="67" t="s">
        <v>143</v>
      </c>
      <c r="D83" s="58">
        <f>D155</f>
        <v>6.5</v>
      </c>
      <c r="E83" s="69">
        <f>0.07*F133/F136</f>
        <v>7.0186200000000012</v>
      </c>
      <c r="F83" s="64">
        <f>(E83*D83)</f>
        <v>45.621030000000005</v>
      </c>
    </row>
    <row r="84" spans="1:8" ht="14.1" customHeight="1">
      <c r="A84" s="12" t="s">
        <v>212</v>
      </c>
      <c r="B84" s="51" t="s">
        <v>172</v>
      </c>
      <c r="C84" s="67" t="s">
        <v>143</v>
      </c>
      <c r="D84" s="58">
        <f>D164</f>
        <v>2.5</v>
      </c>
      <c r="E84" s="69">
        <f>0.07*F137/F140</f>
        <v>4.8520500000000002</v>
      </c>
      <c r="F84" s="64">
        <f>D84*E84</f>
        <v>12.130125</v>
      </c>
    </row>
    <row r="85" spans="1:8" ht="14.1" customHeight="1">
      <c r="A85" s="281" t="s">
        <v>263</v>
      </c>
      <c r="B85" s="130" t="s">
        <v>264</v>
      </c>
      <c r="C85" s="75" t="s">
        <v>91</v>
      </c>
      <c r="D85" s="280">
        <v>0</v>
      </c>
      <c r="E85" s="65">
        <f>F173*F174</f>
        <v>4406.3999999999996</v>
      </c>
      <c r="F85" s="64">
        <f>D85*E85/100</f>
        <v>0</v>
      </c>
    </row>
    <row r="86" spans="1:8" ht="14.1" customHeight="1">
      <c r="A86" s="128" t="s">
        <v>268</v>
      </c>
      <c r="B86" s="130" t="s">
        <v>172</v>
      </c>
      <c r="C86" s="75" t="s">
        <v>143</v>
      </c>
      <c r="D86" s="58">
        <v>0</v>
      </c>
      <c r="E86" s="69">
        <f>0.07*F141/F144</f>
        <v>65.622025000000008</v>
      </c>
      <c r="F86" s="64">
        <f>D86*E86</f>
        <v>0</v>
      </c>
      <c r="H86" t="s">
        <v>282</v>
      </c>
    </row>
    <row r="87" spans="1:8" ht="14.1" customHeight="1">
      <c r="A87" s="127"/>
      <c r="B87" s="130"/>
      <c r="C87" s="61"/>
      <c r="D87" s="98"/>
      <c r="E87" s="65"/>
      <c r="F87" s="64">
        <f>D87*E87</f>
        <v>0</v>
      </c>
    </row>
    <row r="88" spans="1:8" ht="14.1" customHeight="1">
      <c r="A88" s="8" t="s">
        <v>39</v>
      </c>
      <c r="B88" s="135"/>
      <c r="C88" s="55"/>
      <c r="D88" s="96"/>
      <c r="E88" s="96"/>
      <c r="F88" s="57">
        <f>ROUND(SUM(F89:F104),2)</f>
        <v>1449.56</v>
      </c>
    </row>
    <row r="89" spans="1:8" s="33" customFormat="1" ht="14.1" customHeight="1">
      <c r="A89" s="11" t="s">
        <v>123</v>
      </c>
      <c r="B89" s="130" t="s">
        <v>41</v>
      </c>
      <c r="C89" s="83"/>
      <c r="D89" s="63"/>
      <c r="E89" s="59"/>
      <c r="F89" s="60">
        <f>(F169*0.01)/20</f>
        <v>2.2999999999999998</v>
      </c>
    </row>
    <row r="90" spans="1:8" s="29" customFormat="1" ht="14.1" customHeight="1">
      <c r="A90" s="12"/>
      <c r="B90" s="137" t="s">
        <v>161</v>
      </c>
      <c r="C90" s="97"/>
      <c r="D90" s="83"/>
      <c r="E90" s="83"/>
      <c r="F90" s="57"/>
    </row>
    <row r="91" spans="1:8" ht="14.1" customHeight="1">
      <c r="A91" s="11" t="s">
        <v>124</v>
      </c>
      <c r="B91" s="138" t="s">
        <v>41</v>
      </c>
      <c r="C91" s="97"/>
      <c r="D91" s="63"/>
      <c r="E91" s="63"/>
      <c r="F91" s="60">
        <f>(F169-F170)/25/20</f>
        <v>8.2799999999999994</v>
      </c>
    </row>
    <row r="92" spans="1:8" s="29" customFormat="1" ht="14.1" customHeight="1">
      <c r="A92" s="11"/>
      <c r="B92" s="51" t="s">
        <v>179</v>
      </c>
      <c r="C92" s="97"/>
      <c r="D92" s="63"/>
      <c r="E92" s="63"/>
      <c r="F92" s="60"/>
    </row>
    <row r="93" spans="1:8" s="29" customFormat="1" ht="14.1" customHeight="1">
      <c r="A93" s="12"/>
      <c r="B93" s="50" t="s">
        <v>159</v>
      </c>
      <c r="C93" s="97"/>
      <c r="D93" s="96"/>
      <c r="E93" s="96"/>
      <c r="F93" s="57"/>
    </row>
    <row r="94" spans="1:8" ht="14.1" customHeight="1">
      <c r="A94" s="11" t="s">
        <v>10</v>
      </c>
      <c r="B94" s="138" t="s">
        <v>160</v>
      </c>
      <c r="C94" s="83" t="s">
        <v>91</v>
      </c>
      <c r="D94" s="92">
        <v>0.5</v>
      </c>
      <c r="E94" s="63">
        <f>F171</f>
        <v>30000</v>
      </c>
      <c r="F94" s="60">
        <f>(E94*D94/100)</f>
        <v>150</v>
      </c>
    </row>
    <row r="95" spans="1:8" s="29" customFormat="1" ht="14.1" customHeight="1">
      <c r="A95" s="12"/>
      <c r="B95" s="137" t="s">
        <v>388</v>
      </c>
      <c r="C95" s="97"/>
      <c r="D95" s="83"/>
      <c r="E95" s="83"/>
      <c r="F95" s="57"/>
    </row>
    <row r="96" spans="1:8" ht="14.1" customHeight="1">
      <c r="A96" s="11" t="s">
        <v>125</v>
      </c>
      <c r="B96" s="140"/>
      <c r="C96" s="99"/>
      <c r="D96" s="63"/>
      <c r="E96" s="100"/>
      <c r="F96" s="60"/>
    </row>
    <row r="97" spans="1:7" ht="14.1" customHeight="1">
      <c r="A97" s="12" t="s">
        <v>90</v>
      </c>
      <c r="B97" s="141" t="s">
        <v>41</v>
      </c>
      <c r="C97" s="83"/>
      <c r="D97" s="63"/>
      <c r="E97" s="63"/>
      <c r="F97" s="60">
        <f>(F169+F170)/2/20*0.06</f>
        <v>7.5900000000000007</v>
      </c>
    </row>
    <row r="98" spans="1:7" s="29" customFormat="1" ht="14.1" customHeight="1">
      <c r="A98" s="11"/>
      <c r="B98" s="142" t="s">
        <v>180</v>
      </c>
      <c r="C98" s="83"/>
      <c r="D98" s="63"/>
      <c r="E98" s="63"/>
      <c r="F98" s="60"/>
    </row>
    <row r="99" spans="1:7" s="29" customFormat="1" ht="14.1" customHeight="1">
      <c r="A99" s="12"/>
      <c r="B99" s="142" t="s">
        <v>162</v>
      </c>
      <c r="C99" s="83"/>
      <c r="D99" s="63"/>
      <c r="E99" s="63"/>
      <c r="F99" s="60"/>
    </row>
    <row r="100" spans="1:7" ht="14.1" customHeight="1">
      <c r="A100" s="192" t="s">
        <v>247</v>
      </c>
      <c r="B100" s="140" t="s">
        <v>11</v>
      </c>
      <c r="C100" s="99" t="s">
        <v>91</v>
      </c>
      <c r="D100" s="92">
        <v>8</v>
      </c>
      <c r="E100" s="100">
        <f>F6</f>
        <v>3162.86</v>
      </c>
      <c r="F100" s="60">
        <f>(E100*D100/100)</f>
        <v>253.02880000000002</v>
      </c>
    </row>
    <row r="101" spans="1:7" s="29" customFormat="1" ht="14.1" customHeight="1">
      <c r="A101" s="12"/>
      <c r="B101" s="143" t="s">
        <v>174</v>
      </c>
      <c r="C101" s="83"/>
      <c r="D101" s="63"/>
      <c r="E101" s="63"/>
      <c r="F101" s="60"/>
    </row>
    <row r="102" spans="1:7" ht="14.1" customHeight="1">
      <c r="A102" s="277" t="s">
        <v>297</v>
      </c>
      <c r="B102" s="141" t="s">
        <v>160</v>
      </c>
      <c r="C102" s="83" t="s">
        <v>91</v>
      </c>
      <c r="D102" s="287">
        <v>3</v>
      </c>
      <c r="E102" s="63">
        <f>F171</f>
        <v>30000</v>
      </c>
      <c r="F102" s="60">
        <f>(E102*D102/100)</f>
        <v>900</v>
      </c>
    </row>
    <row r="103" spans="1:7" s="29" customFormat="1" ht="14.1" customHeight="1">
      <c r="A103" s="12"/>
      <c r="B103" s="142" t="s">
        <v>389</v>
      </c>
      <c r="C103" s="83"/>
      <c r="D103" s="63"/>
      <c r="E103" s="63"/>
      <c r="F103" s="60"/>
    </row>
    <row r="104" spans="1:7" ht="14.1" customHeight="1">
      <c r="A104" s="11" t="s">
        <v>47</v>
      </c>
      <c r="B104" s="144"/>
      <c r="C104" s="97"/>
      <c r="D104" s="83"/>
      <c r="E104" s="83"/>
      <c r="F104" s="57">
        <f>SUM(F107:F131)</f>
        <v>128.35851678000003</v>
      </c>
    </row>
    <row r="105" spans="1:7" ht="14.1" customHeight="1">
      <c r="A105" s="11" t="s">
        <v>201</v>
      </c>
      <c r="B105" s="140" t="s">
        <v>171</v>
      </c>
      <c r="C105" s="67" t="s">
        <v>143</v>
      </c>
      <c r="D105" s="58">
        <f>D155</f>
        <v>6.5</v>
      </c>
      <c r="E105" s="83">
        <f>((F133-F134)/(F135*F136))+(((F133+F134)/2)*0.01/F136)+((F133+F134)/2*0.06/F136)</f>
        <v>12.232452000000002</v>
      </c>
      <c r="F105" s="64">
        <f>E105*D105</f>
        <v>79.51093800000001</v>
      </c>
      <c r="G105" s="13"/>
    </row>
    <row r="106" spans="1:7" ht="14.1" customHeight="1">
      <c r="A106" s="12"/>
      <c r="B106" s="140" t="s">
        <v>163</v>
      </c>
      <c r="C106" s="67"/>
      <c r="D106" s="58"/>
      <c r="E106" s="83"/>
      <c r="F106" s="64"/>
      <c r="G106" s="13"/>
    </row>
    <row r="107" spans="1:7" s="29" customFormat="1" ht="14.1" customHeight="1">
      <c r="A107" s="12" t="s">
        <v>176</v>
      </c>
      <c r="B107" s="143" t="s">
        <v>164</v>
      </c>
      <c r="C107" s="67" t="s">
        <v>143</v>
      </c>
      <c r="D107" s="83">
        <f>D155</f>
        <v>6.5</v>
      </c>
      <c r="E107" s="63">
        <f>((F133-F134)/(F135*F136))</f>
        <v>8.0212800000000009</v>
      </c>
      <c r="F107" s="64">
        <f>D107*E107</f>
        <v>52.138320000000007</v>
      </c>
      <c r="G107" s="31"/>
    </row>
    <row r="108" spans="1:7" s="29" customFormat="1" ht="14.1" customHeight="1">
      <c r="A108" s="12" t="s">
        <v>177</v>
      </c>
      <c r="B108" s="142" t="s">
        <v>165</v>
      </c>
      <c r="C108" s="67" t="s">
        <v>143</v>
      </c>
      <c r="D108" s="83">
        <f>D155</f>
        <v>6.5</v>
      </c>
      <c r="E108" s="83">
        <f>(((F133+F134)/2)*0.01/F136)</f>
        <v>0.60159600000000002</v>
      </c>
      <c r="F108" s="64">
        <f>D108*E108</f>
        <v>3.910374</v>
      </c>
      <c r="G108" s="31"/>
    </row>
    <row r="109" spans="1:7" s="29" customFormat="1" ht="14.1" customHeight="1">
      <c r="A109" s="12"/>
      <c r="B109" s="143" t="s">
        <v>166</v>
      </c>
      <c r="C109" s="67" t="s">
        <v>143</v>
      </c>
      <c r="D109" s="83">
        <f>D155</f>
        <v>6.5</v>
      </c>
      <c r="E109" s="83">
        <f>((F133+F134)/2*0.06/F136)</f>
        <v>3.6095759999999997</v>
      </c>
      <c r="F109" s="64">
        <f>D109*E109</f>
        <v>23.462243999999998</v>
      </c>
      <c r="G109" s="31"/>
    </row>
    <row r="110" spans="1:7" ht="14.1" customHeight="1">
      <c r="A110" s="12" t="s">
        <v>192</v>
      </c>
      <c r="B110" s="140" t="s">
        <v>147</v>
      </c>
      <c r="C110" s="67"/>
      <c r="D110" s="58"/>
      <c r="E110" s="63"/>
      <c r="F110" s="64"/>
      <c r="G110" s="13"/>
    </row>
    <row r="111" spans="1:7" s="30" customFormat="1" ht="14.1" customHeight="1">
      <c r="A111" s="12" t="s">
        <v>178</v>
      </c>
      <c r="B111" s="142" t="s">
        <v>167</v>
      </c>
      <c r="C111" s="97" t="s">
        <v>143</v>
      </c>
      <c r="D111" s="83">
        <f>D147</f>
        <v>3</v>
      </c>
      <c r="E111" s="83">
        <f>0.23*E105</f>
        <v>2.8134639600000004</v>
      </c>
      <c r="F111" s="64">
        <f>E111*D111</f>
        <v>8.4403918800000017</v>
      </c>
      <c r="G111" s="32"/>
    </row>
    <row r="112" spans="1:7" s="41" customFormat="1" ht="14.1" customHeight="1">
      <c r="A112" s="12"/>
      <c r="B112" s="145" t="s">
        <v>168</v>
      </c>
      <c r="C112" s="97" t="s">
        <v>143</v>
      </c>
      <c r="D112" s="83">
        <f>D148</f>
        <v>1.3</v>
      </c>
      <c r="E112" s="83">
        <f>0.33*E105</f>
        <v>4.0367091600000009</v>
      </c>
      <c r="F112" s="101">
        <f>E112*D112</f>
        <v>5.2477219080000017</v>
      </c>
      <c r="G112" s="40"/>
    </row>
    <row r="113" spans="1:8" s="41" customFormat="1" ht="14.1" customHeight="1">
      <c r="A113" s="12"/>
      <c r="B113" s="146" t="s">
        <v>169</v>
      </c>
      <c r="C113" s="97" t="s">
        <v>143</v>
      </c>
      <c r="D113" s="83">
        <f>D149</f>
        <v>0.5</v>
      </c>
      <c r="E113" s="83">
        <f>0.166*E105</f>
        <v>2.0305870320000006</v>
      </c>
      <c r="F113" s="64">
        <f>E113*D113</f>
        <v>1.0152935160000003</v>
      </c>
      <c r="G113" s="40"/>
    </row>
    <row r="114" spans="1:8" s="41" customFormat="1" ht="14.1" customHeight="1">
      <c r="A114" s="12"/>
      <c r="B114" s="145" t="s">
        <v>170</v>
      </c>
      <c r="C114" s="97" t="s">
        <v>143</v>
      </c>
      <c r="D114" s="58">
        <f>D150</f>
        <v>0.1</v>
      </c>
      <c r="E114" s="83">
        <f>0.1*E105</f>
        <v>1.2232452000000003</v>
      </c>
      <c r="F114" s="64">
        <f>E114*D114</f>
        <v>0.12232452000000003</v>
      </c>
      <c r="G114" s="40"/>
    </row>
    <row r="115" spans="1:8" s="30" customFormat="1" ht="14.1" customHeight="1">
      <c r="A115" s="128"/>
      <c r="B115" s="130"/>
      <c r="C115" s="75"/>
      <c r="D115" s="102"/>
      <c r="E115" s="103"/>
      <c r="F115" s="64">
        <f>D115*E115</f>
        <v>0</v>
      </c>
      <c r="G115" s="32"/>
    </row>
    <row r="116" spans="1:8" s="30" customFormat="1" ht="14.1" customHeight="1">
      <c r="A116" s="128"/>
      <c r="B116" s="130"/>
      <c r="C116" s="75"/>
      <c r="D116" s="102"/>
      <c r="E116" s="103"/>
      <c r="F116" s="64">
        <f>D116*E116</f>
        <v>0</v>
      </c>
      <c r="G116" s="32"/>
    </row>
    <row r="117" spans="1:8" s="30" customFormat="1" ht="14.1" customHeight="1">
      <c r="A117" s="11" t="s">
        <v>216</v>
      </c>
      <c r="B117" s="140" t="s">
        <v>171</v>
      </c>
      <c r="C117" s="67" t="s">
        <v>143</v>
      </c>
      <c r="D117" s="58"/>
      <c r="E117" s="83">
        <f>((F137-F138)/(F139*F140))+(((F137+F138)/2)*0.01/F140)+((F137+F138)/2*0.06/F140)</f>
        <v>8.456430000000001</v>
      </c>
      <c r="F117" s="64">
        <f>E117*D117</f>
        <v>0</v>
      </c>
      <c r="G117" s="32"/>
    </row>
    <row r="118" spans="1:8" s="30" customFormat="1" ht="14.1" customHeight="1">
      <c r="A118" s="12"/>
      <c r="B118" s="140" t="s">
        <v>163</v>
      </c>
      <c r="C118" s="67"/>
      <c r="D118" s="58"/>
      <c r="E118" s="83"/>
      <c r="F118" s="64"/>
      <c r="G118" s="32"/>
    </row>
    <row r="119" spans="1:8" s="30" customFormat="1" ht="14.1" customHeight="1">
      <c r="A119" s="12" t="s">
        <v>176</v>
      </c>
      <c r="B119" s="143" t="s">
        <v>164</v>
      </c>
      <c r="C119" s="67" t="s">
        <v>143</v>
      </c>
      <c r="D119" s="83">
        <v>2.5</v>
      </c>
      <c r="E119" s="63">
        <f>((F137-F138)/(F139*F140))</f>
        <v>5.5452000000000004</v>
      </c>
      <c r="F119" s="64">
        <f>D119*E119</f>
        <v>13.863000000000001</v>
      </c>
      <c r="G119" s="32"/>
    </row>
    <row r="120" spans="1:8" s="30" customFormat="1" ht="14.1" customHeight="1">
      <c r="A120" s="12" t="s">
        <v>177</v>
      </c>
      <c r="B120" s="142" t="s">
        <v>165</v>
      </c>
      <c r="C120" s="67" t="s">
        <v>143</v>
      </c>
      <c r="D120" s="83">
        <v>2.5</v>
      </c>
      <c r="E120" s="83">
        <f>(((F137+F138)/2)*0.01/F140)</f>
        <v>0.41588999999999998</v>
      </c>
      <c r="F120" s="64">
        <f>D120*E120</f>
        <v>1.039725</v>
      </c>
      <c r="G120" s="32"/>
    </row>
    <row r="121" spans="1:8" s="30" customFormat="1" ht="14.1" customHeight="1">
      <c r="A121" s="12"/>
      <c r="B121" s="143" t="s">
        <v>166</v>
      </c>
      <c r="C121" s="67" t="s">
        <v>143</v>
      </c>
      <c r="D121" s="83">
        <v>2.5</v>
      </c>
      <c r="E121" s="83">
        <f>((F137+F138)/2*0.06/F140)</f>
        <v>2.4953399999999997</v>
      </c>
      <c r="F121" s="64">
        <f>D121*E121</f>
        <v>6.2383499999999987</v>
      </c>
      <c r="G121" s="32"/>
    </row>
    <row r="122" spans="1:8" s="30" customFormat="1" ht="14.1" customHeight="1">
      <c r="A122" s="12" t="s">
        <v>192</v>
      </c>
      <c r="B122" s="140" t="s">
        <v>147</v>
      </c>
      <c r="C122" s="67"/>
      <c r="D122" s="58"/>
      <c r="E122" s="63"/>
      <c r="F122" s="64"/>
      <c r="G122" s="32"/>
    </row>
    <row r="123" spans="1:8" s="30" customFormat="1" ht="14.1" customHeight="1">
      <c r="A123" s="179" t="s">
        <v>217</v>
      </c>
      <c r="B123" s="146" t="s">
        <v>206</v>
      </c>
      <c r="C123" s="97" t="s">
        <v>143</v>
      </c>
      <c r="D123" s="83">
        <v>2.7</v>
      </c>
      <c r="E123" s="83">
        <f>0.39*E105</f>
        <v>4.7706562800000007</v>
      </c>
      <c r="F123" s="64">
        <f>D123*E123</f>
        <v>12.880771956000002</v>
      </c>
      <c r="G123" s="32"/>
    </row>
    <row r="124" spans="1:8" s="30" customFormat="1" ht="14.1" customHeight="1">
      <c r="A124" s="12"/>
      <c r="B124" s="140"/>
      <c r="C124" s="97" t="s">
        <v>143</v>
      </c>
      <c r="D124" s="83"/>
      <c r="E124" s="83">
        <f>0.39*E105</f>
        <v>4.7706562800000007</v>
      </c>
      <c r="F124" s="64">
        <f>D124*E124</f>
        <v>0</v>
      </c>
      <c r="G124" s="32"/>
    </row>
    <row r="125" spans="1:8" s="30" customFormat="1" ht="14.1" customHeight="1">
      <c r="A125" s="12"/>
      <c r="B125" s="140"/>
      <c r="C125" s="97" t="s">
        <v>143</v>
      </c>
      <c r="D125" s="83"/>
      <c r="E125" s="83">
        <f>0.39*E105</f>
        <v>4.7706562800000007</v>
      </c>
      <c r="F125" s="64">
        <f>D125*E125</f>
        <v>0</v>
      </c>
      <c r="G125" s="32"/>
    </row>
    <row r="126" spans="1:8" s="30" customFormat="1" ht="14.1" customHeight="1">
      <c r="A126" s="192" t="s">
        <v>261</v>
      </c>
      <c r="B126" s="140" t="s">
        <v>171</v>
      </c>
      <c r="C126" s="233" t="s">
        <v>143</v>
      </c>
      <c r="D126" s="83">
        <v>0</v>
      </c>
      <c r="E126" s="83">
        <f>((F141-F142)/(F143*F144))+(((F141+F142)/2)*0.01/F144)+((F141+F142)/2*0.06/F144)</f>
        <v>120.46328875</v>
      </c>
      <c r="F126" s="64">
        <f>D126*E126</f>
        <v>0</v>
      </c>
      <c r="G126" s="32"/>
      <c r="H126" s="30" t="s">
        <v>282</v>
      </c>
    </row>
    <row r="127" spans="1:8" s="30" customFormat="1" ht="14.1" customHeight="1">
      <c r="A127" s="196"/>
      <c r="B127" s="140" t="s">
        <v>163</v>
      </c>
      <c r="C127" s="233"/>
      <c r="D127" s="83"/>
      <c r="E127" s="83"/>
      <c r="F127" s="64"/>
      <c r="G127" s="32"/>
    </row>
    <row r="128" spans="1:8" s="30" customFormat="1" ht="14.1" customHeight="1">
      <c r="A128" s="196"/>
      <c r="B128" s="143" t="s">
        <v>164</v>
      </c>
      <c r="C128" s="233"/>
      <c r="D128" s="83"/>
      <c r="E128" s="83">
        <f>(F141-F142)/(F143*F144)</f>
        <v>84.371175000000008</v>
      </c>
      <c r="F128" s="64">
        <f>D128*E128</f>
        <v>0</v>
      </c>
      <c r="G128" s="32"/>
    </row>
    <row r="129" spans="1:7" s="30" customFormat="1" ht="14.1" customHeight="1">
      <c r="A129" s="196"/>
      <c r="B129" s="142" t="s">
        <v>165</v>
      </c>
      <c r="C129" s="233"/>
      <c r="D129" s="83"/>
      <c r="E129" s="83">
        <f>(((F141+F142)/2)*0.01/F144)</f>
        <v>5.1560162500000004</v>
      </c>
      <c r="F129" s="64">
        <f>D129*E129</f>
        <v>0</v>
      </c>
      <c r="G129" s="32"/>
    </row>
    <row r="130" spans="1:7" s="30" customFormat="1" ht="14.1" customHeight="1">
      <c r="A130" s="241"/>
      <c r="B130" s="143" t="s">
        <v>166</v>
      </c>
      <c r="C130" s="242"/>
      <c r="D130" s="83"/>
      <c r="E130" s="83">
        <f>((F141+F142)/2*0.06/F144)</f>
        <v>30.936097499999995</v>
      </c>
      <c r="F130" s="64">
        <f>D130*E130</f>
        <v>0</v>
      </c>
      <c r="G130" s="32"/>
    </row>
    <row r="131" spans="1:7" s="30" customFormat="1" ht="14.1" customHeight="1" thickBot="1">
      <c r="A131" s="12"/>
      <c r="B131" s="140"/>
      <c r="C131" s="97"/>
      <c r="D131" s="83"/>
      <c r="E131" s="83"/>
      <c r="F131" s="175"/>
      <c r="G131" s="32"/>
    </row>
    <row r="132" spans="1:7" ht="14.1" customHeight="1" thickTop="1">
      <c r="A132" s="7" t="s">
        <v>126</v>
      </c>
      <c r="B132" s="147"/>
      <c r="C132" s="104"/>
      <c r="D132" s="105"/>
      <c r="E132" s="105"/>
      <c r="F132" s="106"/>
    </row>
    <row r="133" spans="1:7">
      <c r="A133" s="22" t="s">
        <v>193</v>
      </c>
      <c r="B133" s="148" t="s">
        <v>64</v>
      </c>
      <c r="C133" s="108"/>
      <c r="D133" s="83"/>
      <c r="E133" s="83"/>
      <c r="F133" s="107">
        <v>100266</v>
      </c>
    </row>
    <row r="134" spans="1:7" ht="14.25" customHeight="1">
      <c r="A134" s="22" t="s">
        <v>128</v>
      </c>
      <c r="B134" s="149" t="s">
        <v>105</v>
      </c>
      <c r="C134" s="108" t="s">
        <v>91</v>
      </c>
      <c r="D134" s="114">
        <v>20</v>
      </c>
      <c r="E134" s="330">
        <f>F133</f>
        <v>100266</v>
      </c>
      <c r="F134" s="64">
        <f>D134*E134/100</f>
        <v>20053.2</v>
      </c>
    </row>
    <row r="135" spans="1:7" ht="14.25" customHeight="1">
      <c r="A135" s="22" t="s">
        <v>92</v>
      </c>
      <c r="B135" s="139"/>
      <c r="C135" s="110" t="s">
        <v>142</v>
      </c>
      <c r="D135" s="83"/>
      <c r="E135" s="83"/>
      <c r="F135" s="109">
        <v>10</v>
      </c>
    </row>
    <row r="136" spans="1:7" ht="14.25" customHeight="1">
      <c r="A136" s="22" t="s">
        <v>191</v>
      </c>
      <c r="B136" s="150"/>
      <c r="C136" s="108" t="s">
        <v>141</v>
      </c>
      <c r="D136" s="83"/>
      <c r="E136" s="83"/>
      <c r="F136" s="109">
        <v>1000</v>
      </c>
    </row>
    <row r="137" spans="1:7" ht="14.25" customHeight="1">
      <c r="A137" s="176" t="s">
        <v>218</v>
      </c>
      <c r="B137" s="150" t="s">
        <v>64</v>
      </c>
      <c r="C137" s="108"/>
      <c r="D137" s="83"/>
      <c r="E137" s="83"/>
      <c r="F137" s="109">
        <v>69315</v>
      </c>
    </row>
    <row r="138" spans="1:7" ht="14.25" customHeight="1">
      <c r="A138" s="22" t="s">
        <v>219</v>
      </c>
      <c r="B138" s="150" t="s">
        <v>190</v>
      </c>
      <c r="C138" s="108" t="s">
        <v>91</v>
      </c>
      <c r="D138" s="114">
        <v>20</v>
      </c>
      <c r="E138" s="83">
        <f>F137</f>
        <v>69315</v>
      </c>
      <c r="F138" s="109">
        <f>D138*E138/100</f>
        <v>13863</v>
      </c>
    </row>
    <row r="139" spans="1:7" ht="14.25" customHeight="1">
      <c r="A139" s="22" t="s">
        <v>220</v>
      </c>
      <c r="B139" s="150"/>
      <c r="C139" s="108"/>
      <c r="D139" s="83"/>
      <c r="E139" s="83"/>
      <c r="F139" s="109">
        <v>10</v>
      </c>
    </row>
    <row r="140" spans="1:7" ht="14.25" customHeight="1">
      <c r="A140" s="22" t="s">
        <v>221</v>
      </c>
      <c r="B140" s="150"/>
      <c r="C140" s="108"/>
      <c r="D140" s="83"/>
      <c r="E140" s="83"/>
      <c r="F140" s="109">
        <v>1000</v>
      </c>
    </row>
    <row r="141" spans="1:7" ht="14.25" customHeight="1">
      <c r="A141" s="247" t="s">
        <v>261</v>
      </c>
      <c r="B141" s="150" t="s">
        <v>64</v>
      </c>
      <c r="C141" s="242"/>
      <c r="D141" s="220"/>
      <c r="E141" s="220"/>
      <c r="F141" s="246">
        <v>374983</v>
      </c>
    </row>
    <row r="142" spans="1:7" ht="14.25" customHeight="1">
      <c r="A142" s="241" t="s">
        <v>269</v>
      </c>
      <c r="B142" s="150" t="s">
        <v>106</v>
      </c>
      <c r="C142" s="242" t="s">
        <v>91</v>
      </c>
      <c r="D142" s="220">
        <v>10</v>
      </c>
      <c r="E142" s="220">
        <f>+F141</f>
        <v>374983</v>
      </c>
      <c r="F142" s="246">
        <f>D142*E142/100</f>
        <v>37498.300000000003</v>
      </c>
    </row>
    <row r="143" spans="1:7" ht="14.25" customHeight="1">
      <c r="A143" s="241" t="s">
        <v>270</v>
      </c>
      <c r="B143" s="150"/>
      <c r="C143" s="242" t="s">
        <v>142</v>
      </c>
      <c r="D143" s="220"/>
      <c r="E143" s="220"/>
      <c r="F143" s="246">
        <v>10</v>
      </c>
    </row>
    <row r="144" spans="1:7" ht="14.25" customHeight="1">
      <c r="A144" s="241" t="s">
        <v>271</v>
      </c>
      <c r="B144" s="150"/>
      <c r="C144" s="242" t="s">
        <v>141</v>
      </c>
      <c r="D144" s="220"/>
      <c r="E144" s="220"/>
      <c r="F144" s="246">
        <v>400</v>
      </c>
    </row>
    <row r="145" spans="1:6" s="33" customFormat="1" ht="14.1" customHeight="1">
      <c r="A145" s="38" t="s">
        <v>129</v>
      </c>
      <c r="B145" s="151"/>
      <c r="C145" s="111"/>
      <c r="D145" s="112"/>
      <c r="E145" s="112"/>
      <c r="F145" s="60"/>
    </row>
    <row r="146" spans="1:6" s="33" customFormat="1" ht="14.1" customHeight="1">
      <c r="A146" s="38" t="s">
        <v>202</v>
      </c>
      <c r="B146" s="151"/>
      <c r="C146" s="111"/>
      <c r="D146" s="112"/>
      <c r="E146" s="112"/>
      <c r="F146" s="60"/>
    </row>
    <row r="147" spans="1:6" ht="14.1" customHeight="1">
      <c r="A147" s="23" t="s">
        <v>131</v>
      </c>
      <c r="B147" s="152" t="s">
        <v>234</v>
      </c>
      <c r="C147" s="113" t="s">
        <v>143</v>
      </c>
      <c r="D147" s="114">
        <v>3</v>
      </c>
      <c r="E147" s="83">
        <f>(F32+F34+F53+F83+F105)/D155+(E105*0.23)</f>
        <v>59.455990505454544</v>
      </c>
      <c r="F147" s="64">
        <f t="shared" ref="F147:F163" si="2">(E147*D147)</f>
        <v>178.36797151636364</v>
      </c>
    </row>
    <row r="148" spans="1:6" ht="14.1" customHeight="1">
      <c r="A148" s="23" t="s">
        <v>235</v>
      </c>
      <c r="B148" s="153" t="s">
        <v>236</v>
      </c>
      <c r="C148" s="113" t="s">
        <v>143</v>
      </c>
      <c r="D148" s="114">
        <v>1.3</v>
      </c>
      <c r="E148" s="83">
        <f>(F32+F34+F53+F83+F105)/D155+(E105*0.33)</f>
        <v>60.679235705454545</v>
      </c>
      <c r="F148" s="64">
        <f t="shared" si="2"/>
        <v>78.883006417090911</v>
      </c>
    </row>
    <row r="149" spans="1:6" ht="14.1" customHeight="1">
      <c r="A149" s="23" t="s">
        <v>237</v>
      </c>
      <c r="B149" s="152" t="s">
        <v>238</v>
      </c>
      <c r="C149" s="113" t="s">
        <v>143</v>
      </c>
      <c r="D149" s="114">
        <v>0.5</v>
      </c>
      <c r="E149" s="83">
        <f>(F32+F34+F53+F83+F105)/D155+(E105*0.166)</f>
        <v>58.673113577454544</v>
      </c>
      <c r="F149" s="64">
        <f t="shared" si="2"/>
        <v>29.336556788727272</v>
      </c>
    </row>
    <row r="150" spans="1:6" ht="14.1" customHeight="1">
      <c r="A150" s="23" t="s">
        <v>132</v>
      </c>
      <c r="B150" s="152" t="s">
        <v>99</v>
      </c>
      <c r="C150" s="113" t="s">
        <v>143</v>
      </c>
      <c r="D150" s="114">
        <v>0.1</v>
      </c>
      <c r="E150" s="83">
        <f>(F32+F34+F53+F83+F105)/D155+(E105*0.1)</f>
        <v>57.865771745454545</v>
      </c>
      <c r="F150" s="64">
        <f t="shared" si="2"/>
        <v>5.7865771745454548</v>
      </c>
    </row>
    <row r="151" spans="1:6" ht="14.1" customHeight="1">
      <c r="A151" s="23" t="s">
        <v>207</v>
      </c>
      <c r="B151" s="153" t="s">
        <v>239</v>
      </c>
      <c r="C151" s="113" t="s">
        <v>143</v>
      </c>
      <c r="D151" s="114">
        <v>1.6</v>
      </c>
      <c r="E151" s="83">
        <f>(F32+F34+F53+F83+F105)/D155+(E105*0.42723)</f>
        <v>61.868597013414544</v>
      </c>
      <c r="F151" s="64">
        <f t="shared" si="2"/>
        <v>98.98975522146327</v>
      </c>
    </row>
    <row r="152" spans="1:6" ht="14.1" customHeight="1">
      <c r="A152" s="23"/>
      <c r="B152" s="153" t="s">
        <v>205</v>
      </c>
      <c r="C152" s="113" t="s">
        <v>143</v>
      </c>
      <c r="D152" s="114"/>
      <c r="E152" s="83"/>
      <c r="F152" s="64">
        <f>D152*E152</f>
        <v>0</v>
      </c>
    </row>
    <row r="153" spans="1:6" ht="14.1" customHeight="1">
      <c r="A153" s="23"/>
      <c r="B153" s="153"/>
      <c r="C153" s="113"/>
      <c r="D153" s="114"/>
      <c r="E153" s="83"/>
      <c r="F153" s="64">
        <f>D153*E153</f>
        <v>0</v>
      </c>
    </row>
    <row r="154" spans="1:6" ht="14.1" customHeight="1">
      <c r="A154" s="23"/>
      <c r="B154" s="153"/>
      <c r="C154" s="113" t="s">
        <v>143</v>
      </c>
      <c r="D154" s="114"/>
      <c r="E154" s="83"/>
      <c r="F154" s="64">
        <f>D154*E154</f>
        <v>0</v>
      </c>
    </row>
    <row r="155" spans="1:6" ht="14.1" customHeight="1">
      <c r="A155" s="38" t="s">
        <v>203</v>
      </c>
      <c r="B155" s="155"/>
      <c r="C155" s="115" t="s">
        <v>143</v>
      </c>
      <c r="D155" s="112">
        <f>SUM(D147:D154)</f>
        <v>6.5</v>
      </c>
      <c r="E155" s="112">
        <f>F155/D155</f>
        <v>60.209825710490854</v>
      </c>
      <c r="F155" s="60">
        <f>SUM(F147:F154)</f>
        <v>391.36386711819057</v>
      </c>
    </row>
    <row r="156" spans="1:6" s="33" customFormat="1" ht="14.1" customHeight="1">
      <c r="A156" s="38" t="s">
        <v>204</v>
      </c>
      <c r="B156" s="155" t="s">
        <v>103</v>
      </c>
      <c r="C156" s="115" t="s">
        <v>144</v>
      </c>
      <c r="D156" s="129">
        <v>9</v>
      </c>
      <c r="E156" s="116"/>
      <c r="F156" s="90"/>
    </row>
    <row r="157" spans="1:6" ht="14.1" customHeight="1">
      <c r="A157" s="38" t="s">
        <v>222</v>
      </c>
      <c r="B157" s="154"/>
      <c r="C157" s="111"/>
      <c r="D157" s="112"/>
      <c r="E157" s="83"/>
      <c r="F157" s="64"/>
    </row>
    <row r="158" spans="1:6" ht="14.1" customHeight="1">
      <c r="A158" s="23" t="s">
        <v>200</v>
      </c>
      <c r="B158" s="153" t="s">
        <v>225</v>
      </c>
      <c r="C158" s="113" t="s">
        <v>143</v>
      </c>
      <c r="D158" s="114"/>
      <c r="E158" s="83">
        <f>(F35+F37+F55+F84+F117)/D164+(0.39*E105)</f>
        <v>35.059910825454551</v>
      </c>
      <c r="F158" s="64">
        <f t="shared" si="2"/>
        <v>0</v>
      </c>
    </row>
    <row r="159" spans="1:6" ht="14.1" customHeight="1">
      <c r="A159" s="23" t="s">
        <v>199</v>
      </c>
      <c r="B159" s="153" t="s">
        <v>226</v>
      </c>
      <c r="C159" s="113" t="s">
        <v>143</v>
      </c>
      <c r="D159" s="114"/>
      <c r="E159" s="83">
        <f>(F35+F37+F55+F84+F117)/D164+(0.39*E105)</f>
        <v>35.059910825454551</v>
      </c>
      <c r="F159" s="64">
        <f>(E159*D159)</f>
        <v>0</v>
      </c>
    </row>
    <row r="160" spans="1:6" ht="14.1" customHeight="1">
      <c r="A160" s="23" t="s">
        <v>208</v>
      </c>
      <c r="B160" s="153" t="s">
        <v>227</v>
      </c>
      <c r="C160" s="113" t="s">
        <v>143</v>
      </c>
      <c r="D160" s="114">
        <v>2.5</v>
      </c>
      <c r="E160" s="83">
        <f>(F35+F37+F55+F84+F117)/D164+(0.39*E105)</f>
        <v>35.059910825454551</v>
      </c>
      <c r="F160" s="64">
        <f>(E160*D160)</f>
        <v>87.649777063636378</v>
      </c>
    </row>
    <row r="161" spans="1:6" ht="14.1" customHeight="1">
      <c r="A161" s="178" t="s">
        <v>198</v>
      </c>
      <c r="B161" s="153"/>
      <c r="C161" s="113" t="s">
        <v>143</v>
      </c>
      <c r="D161" s="114"/>
      <c r="E161" s="83">
        <f>(F35+F37+F55+F84+F117)/D164+(0.39*E105)</f>
        <v>35.059910825454551</v>
      </c>
      <c r="F161" s="64">
        <f>(E161*D161)</f>
        <v>0</v>
      </c>
    </row>
    <row r="162" spans="1:6" ht="14.1" customHeight="1">
      <c r="A162" s="23" t="s">
        <v>197</v>
      </c>
      <c r="B162" s="153"/>
      <c r="C162" s="113" t="s">
        <v>143</v>
      </c>
      <c r="D162" s="177"/>
      <c r="E162" s="83">
        <f>(F35+F37+F55+F84+F117)/D164+(0.39*E105)</f>
        <v>35.059910825454551</v>
      </c>
      <c r="F162" s="64">
        <f t="shared" si="2"/>
        <v>0</v>
      </c>
    </row>
    <row r="163" spans="1:6" ht="14.1" customHeight="1">
      <c r="A163" s="23" t="s">
        <v>197</v>
      </c>
      <c r="B163" s="153"/>
      <c r="C163" s="113" t="s">
        <v>143</v>
      </c>
      <c r="D163" s="177"/>
      <c r="E163" s="83">
        <f>(F35+F37+F55+F84+F117)/D164+(0.39*E105)</f>
        <v>35.059910825454551</v>
      </c>
      <c r="F163" s="64">
        <f t="shared" si="2"/>
        <v>0</v>
      </c>
    </row>
    <row r="164" spans="1:6" s="33" customFormat="1" ht="14.1" customHeight="1">
      <c r="A164" s="38" t="s">
        <v>223</v>
      </c>
      <c r="B164" s="154"/>
      <c r="C164" s="111"/>
      <c r="D164" s="112">
        <f>SUM(D158:D163)</f>
        <v>2.5</v>
      </c>
      <c r="E164" s="112"/>
      <c r="F164" s="60">
        <f>SUM(F158:F163)</f>
        <v>87.649777063636378</v>
      </c>
    </row>
    <row r="165" spans="1:6" s="33" customFormat="1" ht="14.1" customHeight="1">
      <c r="A165" s="23" t="s">
        <v>224</v>
      </c>
      <c r="B165" s="154" t="s">
        <v>228</v>
      </c>
      <c r="C165" s="115" t="s">
        <v>144</v>
      </c>
      <c r="D165" s="112">
        <v>4.5</v>
      </c>
      <c r="E165" s="112"/>
      <c r="F165" s="60"/>
    </row>
    <row r="166" spans="1:6" s="33" customFormat="1" ht="14.1" customHeight="1">
      <c r="A166" s="248" t="s">
        <v>261</v>
      </c>
      <c r="B166" s="154" t="s">
        <v>261</v>
      </c>
      <c r="C166" s="253"/>
      <c r="D166" s="250"/>
      <c r="E166" s="250"/>
      <c r="F166" s="194"/>
    </row>
    <row r="167" spans="1:6" s="33" customFormat="1" ht="14.1" customHeight="1">
      <c r="A167" s="199" t="s">
        <v>262</v>
      </c>
      <c r="B167" s="136" t="s">
        <v>261</v>
      </c>
      <c r="C167" s="256" t="s">
        <v>143</v>
      </c>
      <c r="D167" s="244">
        <v>1.7</v>
      </c>
      <c r="E167" s="250">
        <f>(F39+F40+F57+F86+F126)/D167</f>
        <v>0</v>
      </c>
      <c r="F167" s="194">
        <f>D167*E167</f>
        <v>0</v>
      </c>
    </row>
    <row r="168" spans="1:6" s="33" customFormat="1" ht="14.1" customHeight="1">
      <c r="A168" s="241" t="s">
        <v>265</v>
      </c>
      <c r="B168" s="150" t="s">
        <v>261</v>
      </c>
      <c r="C168" s="220" t="s">
        <v>144</v>
      </c>
      <c r="D168" s="244">
        <v>11</v>
      </c>
      <c r="E168" s="250"/>
      <c r="F168" s="194"/>
    </row>
    <row r="169" spans="1:6" ht="14.1" customHeight="1">
      <c r="A169" s="23" t="s">
        <v>12</v>
      </c>
      <c r="B169" s="136" t="s">
        <v>65</v>
      </c>
      <c r="C169" s="117" t="s">
        <v>145</v>
      </c>
      <c r="D169" s="83"/>
      <c r="E169" s="83"/>
      <c r="F169" s="107">
        <v>4600</v>
      </c>
    </row>
    <row r="170" spans="1:6" ht="14.25" customHeight="1">
      <c r="A170" s="22" t="s">
        <v>133</v>
      </c>
      <c r="B170" s="150" t="s">
        <v>106</v>
      </c>
      <c r="C170" s="83" t="s">
        <v>91</v>
      </c>
      <c r="D170" s="83">
        <v>10</v>
      </c>
      <c r="E170" s="83">
        <f>F169</f>
        <v>4600</v>
      </c>
      <c r="F170" s="64">
        <f>D170*E170/100</f>
        <v>460</v>
      </c>
    </row>
    <row r="171" spans="1:6" ht="14.1" customHeight="1">
      <c r="A171" s="23" t="s">
        <v>173</v>
      </c>
      <c r="B171" s="150"/>
      <c r="C171" s="150" t="s">
        <v>13</v>
      </c>
      <c r="D171" s="83"/>
      <c r="E171" s="83"/>
      <c r="F171" s="107">
        <v>30000</v>
      </c>
    </row>
    <row r="172" spans="1:6" ht="14.1" customHeight="1" thickBot="1">
      <c r="A172" s="12" t="s">
        <v>127</v>
      </c>
      <c r="B172" s="139"/>
      <c r="C172" s="67" t="s">
        <v>140</v>
      </c>
      <c r="D172" s="63"/>
      <c r="E172" s="63"/>
      <c r="F172" s="107">
        <v>678</v>
      </c>
    </row>
    <row r="173" spans="1:6" ht="14.1" customHeight="1" thickTop="1">
      <c r="A173" s="7" t="s">
        <v>69</v>
      </c>
      <c r="B173" s="156" t="s">
        <v>1</v>
      </c>
      <c r="C173" s="105" t="s">
        <v>186</v>
      </c>
      <c r="D173" s="105"/>
      <c r="E173" s="105"/>
      <c r="F173" s="118">
        <v>137.69999999999999</v>
      </c>
    </row>
    <row r="174" spans="1:6" ht="14.1" customHeight="1" thickBot="1">
      <c r="A174" s="34" t="s">
        <v>46</v>
      </c>
      <c r="B174" s="157" t="s">
        <v>135</v>
      </c>
      <c r="C174" s="119" t="s">
        <v>187</v>
      </c>
      <c r="D174" s="120"/>
      <c r="E174" s="120"/>
      <c r="F174" s="121">
        <v>32</v>
      </c>
    </row>
    <row r="175" spans="1:6" ht="14.1" customHeight="1" thickTop="1">
      <c r="A175" s="7" t="s">
        <v>102</v>
      </c>
      <c r="B175" s="289"/>
      <c r="C175" s="290"/>
      <c r="D175" s="105"/>
      <c r="E175" s="105"/>
      <c r="F175" s="106"/>
    </row>
    <row r="176" spans="1:6" ht="12.75" customHeight="1">
      <c r="A176" s="11" t="s">
        <v>134</v>
      </c>
      <c r="B176" s="282" t="s">
        <v>111</v>
      </c>
      <c r="C176" s="59" t="s">
        <v>101</v>
      </c>
      <c r="D176" s="63"/>
      <c r="E176" s="63"/>
      <c r="F176" s="60">
        <f>(F88+F6)</f>
        <v>4612.42</v>
      </c>
    </row>
    <row r="177" spans="1:8" ht="14.1" customHeight="1">
      <c r="A177" s="283" t="s">
        <v>112</v>
      </c>
      <c r="B177" s="139" t="s">
        <v>107</v>
      </c>
      <c r="C177" s="201" t="s">
        <v>101</v>
      </c>
      <c r="D177" s="197"/>
      <c r="E177" s="227"/>
      <c r="F177" s="202">
        <f>F174*F173</f>
        <v>4406.3999999999996</v>
      </c>
    </row>
    <row r="178" spans="1:8" ht="12.75" customHeight="1">
      <c r="A178" s="196" t="s">
        <v>113</v>
      </c>
      <c r="B178" s="139" t="s">
        <v>108</v>
      </c>
      <c r="C178" s="201" t="s">
        <v>101</v>
      </c>
      <c r="D178" s="197"/>
      <c r="E178" s="197"/>
      <c r="F178" s="198">
        <f>F177-F6</f>
        <v>1243.5399999999995</v>
      </c>
    </row>
    <row r="179" spans="1:8" s="33" customFormat="1" ht="14.1" customHeight="1">
      <c r="A179" s="283" t="s">
        <v>115</v>
      </c>
      <c r="B179" s="139" t="s">
        <v>109</v>
      </c>
      <c r="C179" s="230" t="s">
        <v>101</v>
      </c>
      <c r="D179" s="258"/>
      <c r="E179" s="258"/>
      <c r="F179" s="202">
        <f>F177-F176</f>
        <v>-206.02000000000044</v>
      </c>
      <c r="G179" s="291"/>
    </row>
    <row r="180" spans="1:8" s="33" customFormat="1" ht="14.1" customHeight="1">
      <c r="A180" s="225"/>
      <c r="B180" s="139"/>
      <c r="C180" s="230"/>
      <c r="D180" s="258"/>
      <c r="E180" s="258"/>
      <c r="F180" s="228"/>
    </row>
    <row r="181" spans="1:8" s="33" customFormat="1" ht="14.1" customHeight="1">
      <c r="A181" s="304" t="s">
        <v>114</v>
      </c>
      <c r="B181" s="305" t="s">
        <v>110</v>
      </c>
      <c r="C181" s="306" t="s">
        <v>281</v>
      </c>
      <c r="D181" s="307"/>
      <c r="E181" s="307"/>
      <c r="F181" s="308">
        <f>ROUND(F6/F173,2)</f>
        <v>22.97</v>
      </c>
    </row>
    <row r="182" spans="1:8" s="33" customFormat="1" ht="14.1" customHeight="1">
      <c r="A182" s="309" t="s">
        <v>116</v>
      </c>
      <c r="B182" s="305" t="s">
        <v>181</v>
      </c>
      <c r="C182" s="310" t="s">
        <v>281</v>
      </c>
      <c r="D182" s="311"/>
      <c r="E182" s="311"/>
      <c r="F182" s="312">
        <f>ROUND(F88/F173,2)</f>
        <v>10.53</v>
      </c>
    </row>
    <row r="183" spans="1:8" s="271" customFormat="1" ht="14.1" customHeight="1">
      <c r="A183" s="309" t="s">
        <v>117</v>
      </c>
      <c r="B183" s="305" t="s">
        <v>182</v>
      </c>
      <c r="C183" s="310" t="s">
        <v>281</v>
      </c>
      <c r="D183" s="311"/>
      <c r="E183" s="311"/>
      <c r="F183" s="288">
        <f>F181+F182</f>
        <v>33.5</v>
      </c>
    </row>
    <row r="184" spans="1:8" s="271" customFormat="1" ht="14.1" customHeight="1">
      <c r="A184" s="309"/>
      <c r="B184" s="314"/>
      <c r="C184" s="306"/>
      <c r="D184" s="311"/>
      <c r="E184" s="307"/>
      <c r="F184" s="313"/>
    </row>
    <row r="185" spans="1:8" s="1" customFormat="1" ht="14.1" customHeight="1">
      <c r="A185" s="192" t="s">
        <v>290</v>
      </c>
      <c r="B185" s="284" t="s">
        <v>293</v>
      </c>
      <c r="C185" s="201" t="s">
        <v>91</v>
      </c>
      <c r="D185" s="193">
        <f>(F185/F176)*100</f>
        <v>73.358526623894051</v>
      </c>
      <c r="E185" s="254">
        <f>F183-E186</f>
        <v>26.007215571376914</v>
      </c>
      <c r="F185" s="228">
        <f>F176-F186</f>
        <v>3383.6033537058138</v>
      </c>
      <c r="H185" s="24"/>
    </row>
    <row r="186" spans="1:8" s="1" customFormat="1" ht="14.1" customHeight="1">
      <c r="A186" s="192" t="s">
        <v>292</v>
      </c>
      <c r="B186" s="284" t="s">
        <v>294</v>
      </c>
      <c r="C186" s="286" t="s">
        <v>91</v>
      </c>
      <c r="D186" s="285">
        <f>(F186/F176)*100</f>
        <v>26.641473376105957</v>
      </c>
      <c r="E186" s="254">
        <f>F186/164</f>
        <v>7.4927844286230867</v>
      </c>
      <c r="F186" s="228">
        <f>F77+F97+F100+F102+(((F133+F134)/2*0.06/F136)*1.826*D105)+(((F137+F138)/2*0.06/F140)*2.23)*D117+(((F141+F142)/2*0.06/F144))*D126</f>
        <v>1228.8166462941863</v>
      </c>
      <c r="H186" s="24"/>
    </row>
    <row r="187" spans="1:8" s="1" customFormat="1" ht="14.1" customHeight="1">
      <c r="A187" s="192"/>
      <c r="B187" s="284"/>
      <c r="C187" s="286"/>
      <c r="D187" s="285"/>
      <c r="E187" s="254"/>
      <c r="F187" s="228"/>
      <c r="H187" s="24"/>
    </row>
    <row r="188" spans="1:8" s="1" customFormat="1" ht="14.1" customHeight="1">
      <c r="A188" s="192" t="s">
        <v>104</v>
      </c>
      <c r="B188" s="158"/>
      <c r="C188" s="201"/>
      <c r="D188" s="193"/>
      <c r="E188" s="254"/>
      <c r="F188" s="315"/>
      <c r="H188" s="24"/>
    </row>
    <row r="189" spans="1:8" s="1" customFormat="1" ht="14.1" customHeight="1">
      <c r="A189" s="196" t="s">
        <v>274</v>
      </c>
      <c r="B189" s="158"/>
      <c r="C189" s="201" t="s">
        <v>91</v>
      </c>
      <c r="D189" s="201">
        <f>F7/E195*100</f>
        <v>35.882158931753835</v>
      </c>
      <c r="E189" s="201"/>
      <c r="F189" s="202">
        <f>D189*F176/100</f>
        <v>1655.0358750000003</v>
      </c>
      <c r="H189" s="24"/>
    </row>
    <row r="190" spans="1:8" s="1" customFormat="1" ht="14.1" customHeight="1">
      <c r="A190" s="196" t="s">
        <v>275</v>
      </c>
      <c r="B190" s="158"/>
      <c r="C190" s="201" t="s">
        <v>91</v>
      </c>
      <c r="D190" s="197">
        <f>F43/E195*100</f>
        <v>10.591047452510633</v>
      </c>
      <c r="E190" s="201"/>
      <c r="F190" s="202">
        <f>D190*F176/100</f>
        <v>488.50359090909092</v>
      </c>
      <c r="H190" s="24"/>
    </row>
    <row r="191" spans="1:8" s="1" customFormat="1" ht="14.1" customHeight="1">
      <c r="A191" s="196" t="s">
        <v>276</v>
      </c>
      <c r="B191" s="158"/>
      <c r="C191" s="201" t="s">
        <v>91</v>
      </c>
      <c r="D191" s="197">
        <f>(F32+F34+F35+F37+F39+F40+F53+F55+F57+F60+F61+F62+F63+F64+F65+F66+F67+F68+F83+F84+F86+F87+F104)/E195*100</f>
        <v>21.623944430235991</v>
      </c>
      <c r="E191" s="201"/>
      <c r="F191" s="202">
        <f>D191*F176/100</f>
        <v>997.38713768909088</v>
      </c>
      <c r="H191" s="24"/>
    </row>
    <row r="192" spans="1:8" s="1" customFormat="1" ht="14.1" customHeight="1">
      <c r="A192" s="196" t="s">
        <v>279</v>
      </c>
      <c r="B192" s="158"/>
      <c r="C192" s="201" t="s">
        <v>91</v>
      </c>
      <c r="D192" s="201">
        <f>(F85+F102)/E195*100</f>
        <v>19.512533550717411</v>
      </c>
      <c r="E192" s="201"/>
      <c r="F192" s="202">
        <f>D192*F176/100</f>
        <v>900</v>
      </c>
      <c r="H192" s="24"/>
    </row>
    <row r="193" spans="1:8" s="1" customFormat="1" ht="14.1" customHeight="1">
      <c r="A193" s="196" t="s">
        <v>277</v>
      </c>
      <c r="B193" s="158"/>
      <c r="C193" s="201" t="s">
        <v>91</v>
      </c>
      <c r="D193" s="197">
        <f>(F61+F167)/E195*100</f>
        <v>9.5533364264312439</v>
      </c>
      <c r="E193" s="201"/>
      <c r="F193" s="202">
        <f>D193*F176/100</f>
        <v>440.64</v>
      </c>
      <c r="H193" s="24"/>
    </row>
    <row r="194" spans="1:8" s="1" customFormat="1" ht="14.1" customHeight="1">
      <c r="A194" s="196" t="s">
        <v>349</v>
      </c>
      <c r="B194" s="158"/>
      <c r="C194" s="201" t="s">
        <v>91</v>
      </c>
      <c r="D194" s="197">
        <f>D195-D189-D190-D191-D192-D193</f>
        <v>2.8369792083508827</v>
      </c>
      <c r="E194" s="201"/>
      <c r="F194" s="202">
        <f>D194*F176/100</f>
        <v>130.8533964018178</v>
      </c>
      <c r="H194" s="24"/>
    </row>
    <row r="195" spans="1:8" s="26" customFormat="1" ht="14.1" customHeight="1" thickBot="1">
      <c r="A195" s="39" t="s">
        <v>278</v>
      </c>
      <c r="B195" s="159"/>
      <c r="C195" s="122" t="s">
        <v>91</v>
      </c>
      <c r="D195" s="122">
        <v>100</v>
      </c>
      <c r="E195" s="122">
        <f>F176</f>
        <v>4612.42</v>
      </c>
      <c r="F195" s="122">
        <f>D195*E195/100</f>
        <v>4612.42</v>
      </c>
    </row>
    <row r="196" spans="1:8" ht="14.1" customHeight="1" thickTop="1"/>
    <row r="197" spans="1:8" ht="14.1" customHeight="1">
      <c r="A197" s="344" t="s">
        <v>302</v>
      </c>
      <c r="B197" s="344"/>
      <c r="C197" s="344"/>
      <c r="D197" s="344"/>
      <c r="E197" s="344"/>
      <c r="F197" s="344"/>
    </row>
    <row r="198" spans="1:8" ht="27" customHeight="1">
      <c r="A198" s="343" t="s">
        <v>350</v>
      </c>
      <c r="B198" s="343"/>
      <c r="C198" s="343"/>
      <c r="D198" s="343"/>
      <c r="E198" s="343"/>
      <c r="F198" s="343"/>
    </row>
    <row r="199" spans="1:8" ht="14.1" customHeight="1">
      <c r="A199" s="325" t="s">
        <v>351</v>
      </c>
      <c r="B199"/>
      <c r="C199" s="30"/>
      <c r="D199" s="180"/>
      <c r="E199" s="180"/>
      <c r="F199" s="180"/>
    </row>
    <row r="200" spans="1:8" ht="2.25" customHeight="1">
      <c r="A200" s="319"/>
      <c r="B200"/>
      <c r="C200" s="30"/>
      <c r="D200" s="180"/>
      <c r="E200" s="180"/>
      <c r="F200" s="180"/>
    </row>
    <row r="201" spans="1:8" ht="14.1" customHeight="1">
      <c r="A201" s="342" t="s">
        <v>303</v>
      </c>
      <c r="B201" s="342"/>
      <c r="C201" s="342"/>
      <c r="D201" s="342"/>
      <c r="E201" s="342"/>
      <c r="F201" s="342"/>
    </row>
    <row r="202" spans="1:8" ht="96.75" customHeight="1">
      <c r="A202" s="338" t="s">
        <v>304</v>
      </c>
      <c r="B202" s="338"/>
      <c r="C202" s="338"/>
      <c r="D202" s="338"/>
      <c r="E202" s="338"/>
      <c r="F202" s="338"/>
    </row>
    <row r="203" spans="1:8" ht="102.75" customHeight="1">
      <c r="A203" s="338" t="s">
        <v>305</v>
      </c>
      <c r="B203" s="338"/>
      <c r="C203" s="338"/>
      <c r="D203" s="338"/>
      <c r="E203" s="338"/>
      <c r="F203" s="338"/>
    </row>
    <row r="204" spans="1:8" ht="68.25" customHeight="1">
      <c r="A204" s="338" t="s">
        <v>306</v>
      </c>
      <c r="B204" s="338"/>
      <c r="C204" s="338"/>
      <c r="D204" s="338"/>
      <c r="E204" s="338"/>
      <c r="F204" s="338"/>
    </row>
    <row r="205" spans="1:8" ht="43.5" customHeight="1">
      <c r="A205" s="338" t="s">
        <v>307</v>
      </c>
      <c r="B205" s="338"/>
      <c r="C205" s="338"/>
      <c r="D205" s="338"/>
      <c r="E205" s="338"/>
      <c r="F205" s="338"/>
    </row>
    <row r="206" spans="1:8" ht="2.25" customHeight="1">
      <c r="A206" s="320"/>
      <c r="B206"/>
      <c r="C206" s="30"/>
      <c r="D206" s="180"/>
      <c r="E206" s="180"/>
      <c r="F206" s="180"/>
    </row>
    <row r="207" spans="1:8" ht="14.1" customHeight="1">
      <c r="A207" s="342" t="s">
        <v>308</v>
      </c>
      <c r="B207" s="342"/>
      <c r="C207" s="342"/>
      <c r="D207" s="342"/>
      <c r="E207" s="342"/>
      <c r="F207" s="342"/>
    </row>
    <row r="208" spans="1:8" ht="14.1" customHeight="1">
      <c r="A208" s="338" t="s">
        <v>309</v>
      </c>
      <c r="B208" s="338"/>
      <c r="C208" s="338"/>
      <c r="D208" s="338"/>
      <c r="E208" s="338"/>
      <c r="F208" s="338"/>
    </row>
    <row r="209" spans="1:6" ht="14.1" customHeight="1">
      <c r="A209" s="338" t="s">
        <v>310</v>
      </c>
      <c r="B209" s="338"/>
      <c r="C209" s="338"/>
      <c r="D209" s="338"/>
      <c r="E209" s="338"/>
      <c r="F209" s="338"/>
    </row>
    <row r="210" spans="1:6" ht="14.1" customHeight="1">
      <c r="A210" s="338" t="s">
        <v>311</v>
      </c>
      <c r="B210" s="338"/>
      <c r="C210" s="338"/>
      <c r="D210" s="338"/>
      <c r="E210" s="338"/>
      <c r="F210" s="338"/>
    </row>
    <row r="211" spans="1:6" ht="14.1" customHeight="1">
      <c r="A211" s="320"/>
      <c r="B211"/>
      <c r="C211" s="30"/>
      <c r="D211" s="180"/>
      <c r="E211" s="180"/>
      <c r="F211" s="180"/>
    </row>
    <row r="212" spans="1:6" ht="14.1" customHeight="1">
      <c r="A212" s="341" t="s">
        <v>312</v>
      </c>
      <c r="B212" s="341"/>
      <c r="C212" s="341"/>
      <c r="D212" s="341"/>
      <c r="E212" s="341"/>
      <c r="F212" s="341"/>
    </row>
    <row r="213" spans="1:6" ht="14.1" customHeight="1">
      <c r="A213" s="320" t="s">
        <v>313</v>
      </c>
      <c r="B213"/>
      <c r="C213" s="30"/>
      <c r="D213" s="180"/>
      <c r="E213" s="180"/>
      <c r="F213" s="180"/>
    </row>
    <row r="214" spans="1:6" ht="14.1" customHeight="1">
      <c r="A214" s="338" t="s">
        <v>314</v>
      </c>
      <c r="B214" s="338"/>
      <c r="C214" s="338"/>
      <c r="D214" s="338"/>
      <c r="E214" s="338"/>
      <c r="F214" s="338"/>
    </row>
    <row r="215" spans="1:6" ht="14.1" customHeight="1">
      <c r="A215" s="338" t="s">
        <v>315</v>
      </c>
      <c r="B215" s="338"/>
      <c r="C215" s="338"/>
      <c r="D215" s="338"/>
      <c r="E215" s="338"/>
      <c r="F215" s="338"/>
    </row>
    <row r="216" spans="1:6" ht="14.1" customHeight="1">
      <c r="A216" s="338" t="s">
        <v>316</v>
      </c>
      <c r="B216" s="338"/>
      <c r="C216" s="338"/>
      <c r="D216" s="338"/>
      <c r="E216" s="338"/>
      <c r="F216" s="338"/>
    </row>
    <row r="217" spans="1:6" ht="14.1" customHeight="1">
      <c r="A217" s="338" t="s">
        <v>317</v>
      </c>
      <c r="B217" s="338"/>
      <c r="C217" s="338"/>
      <c r="D217" s="338"/>
      <c r="E217" s="338"/>
      <c r="F217" s="338"/>
    </row>
    <row r="218" spans="1:6" ht="14.1" customHeight="1">
      <c r="A218" s="338" t="s">
        <v>318</v>
      </c>
      <c r="B218" s="338"/>
      <c r="C218" s="338"/>
      <c r="D218" s="338"/>
      <c r="E218" s="338"/>
      <c r="F218" s="338"/>
    </row>
    <row r="219" spans="1:6" ht="14.1" customHeight="1">
      <c r="A219" s="338" t="s">
        <v>319</v>
      </c>
      <c r="B219" s="338"/>
      <c r="C219" s="338"/>
      <c r="D219" s="338"/>
      <c r="E219" s="338"/>
      <c r="F219" s="338"/>
    </row>
    <row r="220" spans="1:6" ht="14.1" customHeight="1">
      <c r="A220" s="338" t="s">
        <v>320</v>
      </c>
      <c r="B220" s="338"/>
      <c r="C220" s="338"/>
      <c r="D220" s="338"/>
      <c r="E220" s="338"/>
      <c r="F220" s="338"/>
    </row>
    <row r="221" spans="1:6" ht="14.1" customHeight="1">
      <c r="A221" s="338" t="s">
        <v>321</v>
      </c>
      <c r="B221" s="338"/>
      <c r="C221" s="338"/>
      <c r="D221" s="338"/>
      <c r="E221" s="338"/>
      <c r="F221" s="338"/>
    </row>
    <row r="222" spans="1:6" ht="14.1" customHeight="1">
      <c r="A222" s="338" t="s">
        <v>322</v>
      </c>
      <c r="B222" s="338"/>
      <c r="C222" s="338"/>
      <c r="D222" s="338"/>
      <c r="E222" s="338"/>
      <c r="F222" s="338"/>
    </row>
    <row r="223" spans="1:6" ht="14.1" customHeight="1">
      <c r="A223" s="338" t="s">
        <v>323</v>
      </c>
      <c r="B223" s="338"/>
      <c r="C223" s="338"/>
      <c r="D223" s="338"/>
      <c r="E223" s="338"/>
      <c r="F223" s="338"/>
    </row>
    <row r="224" spans="1:6" ht="14.1" customHeight="1">
      <c r="A224" s="338" t="s">
        <v>324</v>
      </c>
      <c r="B224" s="338"/>
      <c r="C224" s="338"/>
      <c r="D224" s="338"/>
      <c r="E224" s="338"/>
      <c r="F224" s="338"/>
    </row>
    <row r="225" spans="1:6" ht="14.1" customHeight="1">
      <c r="A225" s="338" t="s">
        <v>325</v>
      </c>
      <c r="B225" s="338"/>
      <c r="C225" s="338"/>
      <c r="D225" s="338"/>
      <c r="E225" s="338"/>
      <c r="F225" s="338"/>
    </row>
    <row r="226" spans="1:6" ht="14.1" customHeight="1">
      <c r="A226" s="338" t="s">
        <v>326</v>
      </c>
      <c r="B226" s="338"/>
      <c r="C226" s="338"/>
      <c r="D226" s="338"/>
      <c r="E226" s="338"/>
      <c r="F226" s="338"/>
    </row>
    <row r="227" spans="1:6" ht="14.1" customHeight="1">
      <c r="A227" s="338" t="s">
        <v>327</v>
      </c>
      <c r="B227" s="338"/>
      <c r="C227" s="338"/>
      <c r="D227" s="338"/>
      <c r="E227" s="338"/>
      <c r="F227" s="338"/>
    </row>
    <row r="228" spans="1:6" ht="14.1" customHeight="1">
      <c r="A228" s="338" t="s">
        <v>328</v>
      </c>
      <c r="B228" s="338"/>
      <c r="C228" s="338"/>
      <c r="D228" s="338"/>
      <c r="E228" s="338"/>
      <c r="F228" s="338"/>
    </row>
    <row r="229" spans="1:6" ht="14.1" customHeight="1">
      <c r="A229" s="338" t="s">
        <v>329</v>
      </c>
      <c r="B229" s="338"/>
      <c r="C229" s="338"/>
      <c r="D229" s="338"/>
      <c r="E229" s="338"/>
      <c r="F229" s="338"/>
    </row>
    <row r="230" spans="1:6" ht="14.1" customHeight="1">
      <c r="A230" s="338" t="s">
        <v>330</v>
      </c>
      <c r="B230" s="338"/>
      <c r="C230" s="338"/>
      <c r="D230" s="338"/>
      <c r="E230" s="338"/>
      <c r="F230" s="338"/>
    </row>
    <row r="231" spans="1:6" ht="14.1" customHeight="1">
      <c r="A231" s="338" t="s">
        <v>331</v>
      </c>
      <c r="B231" s="338"/>
      <c r="C231" s="338"/>
      <c r="D231" s="338"/>
      <c r="E231" s="338"/>
      <c r="F231" s="338"/>
    </row>
    <row r="232" spans="1:6" ht="14.1" customHeight="1">
      <c r="A232" s="338" t="s">
        <v>332</v>
      </c>
      <c r="B232" s="338"/>
      <c r="C232" s="338"/>
      <c r="D232" s="338"/>
      <c r="E232" s="338"/>
      <c r="F232" s="338"/>
    </row>
    <row r="233" spans="1:6" ht="14.1" customHeight="1">
      <c r="A233" s="321"/>
      <c r="B233"/>
      <c r="C233" s="30"/>
      <c r="D233" s="180"/>
      <c r="E233" s="180"/>
      <c r="F233" s="180"/>
    </row>
    <row r="234" spans="1:6" ht="14.1" customHeight="1">
      <c r="A234" s="341" t="s">
        <v>333</v>
      </c>
      <c r="B234" s="341"/>
      <c r="C234" s="341"/>
      <c r="D234" s="341"/>
      <c r="E234" s="341"/>
      <c r="F234" s="341"/>
    </row>
    <row r="235" spans="1:6" ht="14.1" customHeight="1">
      <c r="A235" s="340" t="s">
        <v>334</v>
      </c>
      <c r="B235" s="340"/>
      <c r="C235" s="340"/>
      <c r="D235" s="340"/>
      <c r="E235" s="340"/>
      <c r="F235" s="340"/>
    </row>
    <row r="236" spans="1:6" ht="14.1" customHeight="1">
      <c r="A236" s="323"/>
      <c r="B236"/>
      <c r="C236" s="30"/>
      <c r="D236" s="180"/>
      <c r="E236" s="180"/>
      <c r="F236" s="180"/>
    </row>
    <row r="237" spans="1:6" ht="14.1" customHeight="1">
      <c r="A237" s="338" t="s">
        <v>335</v>
      </c>
      <c r="B237" s="338"/>
      <c r="C237" s="338"/>
      <c r="D237" s="338"/>
      <c r="E237" s="338"/>
      <c r="F237" s="338"/>
    </row>
    <row r="238" spans="1:6" ht="14.1" customHeight="1">
      <c r="A238" s="338" t="s">
        <v>344</v>
      </c>
      <c r="B238" s="338"/>
      <c r="C238" s="338"/>
      <c r="D238" s="338"/>
      <c r="E238" s="338"/>
      <c r="F238" s="338"/>
    </row>
    <row r="239" spans="1:6" ht="14.1" customHeight="1">
      <c r="A239" s="338" t="s">
        <v>345</v>
      </c>
      <c r="B239" s="338"/>
      <c r="C239" s="338"/>
      <c r="D239" s="338"/>
      <c r="E239" s="338"/>
      <c r="F239" s="338"/>
    </row>
    <row r="240" spans="1:6" ht="14.1" customHeight="1">
      <c r="A240" s="338" t="s">
        <v>346</v>
      </c>
      <c r="B240" s="338"/>
      <c r="C240" s="338"/>
      <c r="D240" s="338"/>
      <c r="E240" s="338"/>
      <c r="F240" s="338"/>
    </row>
    <row r="241" spans="1:6" ht="14.1" customHeight="1">
      <c r="A241" s="320"/>
      <c r="B241"/>
      <c r="C241" s="30"/>
      <c r="D241" s="180"/>
      <c r="E241" s="180"/>
      <c r="F241" s="180"/>
    </row>
    <row r="242" spans="1:6" ht="14.1" customHeight="1">
      <c r="A242" s="338" t="s">
        <v>347</v>
      </c>
      <c r="B242" s="338"/>
      <c r="C242" s="338"/>
      <c r="D242" s="338"/>
      <c r="E242" s="338"/>
      <c r="F242" s="338"/>
    </row>
    <row r="243" spans="1:6" ht="14.1" customHeight="1">
      <c r="A243" s="338" t="s">
        <v>348</v>
      </c>
      <c r="B243" s="338"/>
      <c r="C243" s="338"/>
      <c r="D243" s="338"/>
      <c r="E243" s="338"/>
      <c r="F243" s="338"/>
    </row>
    <row r="244" spans="1:6" ht="14.1" customHeight="1">
      <c r="A244" s="338" t="s">
        <v>336</v>
      </c>
      <c r="B244" s="338"/>
      <c r="C244" s="338"/>
      <c r="D244" s="338"/>
      <c r="E244" s="338"/>
      <c r="F244" s="338"/>
    </row>
    <row r="245" spans="1:6" ht="14.1" customHeight="1">
      <c r="A245" s="320"/>
      <c r="B245"/>
      <c r="C245" s="30"/>
      <c r="D245" s="180"/>
      <c r="E245" s="180"/>
      <c r="F245" s="180"/>
    </row>
    <row r="246" spans="1:6" ht="14.1" customHeight="1">
      <c r="A246" s="340" t="s">
        <v>337</v>
      </c>
      <c r="B246" s="340"/>
      <c r="C246" s="340"/>
      <c r="D246" s="340"/>
      <c r="E246" s="340"/>
      <c r="F246" s="340"/>
    </row>
    <row r="247" spans="1:6" ht="14.1" customHeight="1">
      <c r="A247" s="322"/>
      <c r="B247"/>
      <c r="C247" s="30"/>
      <c r="D247" s="180"/>
      <c r="E247" s="180"/>
      <c r="F247" s="180"/>
    </row>
    <row r="248" spans="1:6" ht="14.1" customHeight="1">
      <c r="A248" s="338" t="s">
        <v>338</v>
      </c>
      <c r="B248" s="338"/>
      <c r="C248" s="338"/>
      <c r="D248" s="338"/>
      <c r="E248" s="338"/>
      <c r="F248" s="338"/>
    </row>
    <row r="249" spans="1:6" ht="14.1" customHeight="1">
      <c r="A249" s="338" t="s">
        <v>339</v>
      </c>
      <c r="B249" s="338"/>
      <c r="C249" s="338"/>
      <c r="D249" s="338"/>
      <c r="E249" s="338"/>
      <c r="F249" s="338"/>
    </row>
    <row r="250" spans="1:6" ht="14.1" customHeight="1">
      <c r="A250" s="338" t="s">
        <v>340</v>
      </c>
      <c r="B250" s="338"/>
      <c r="C250" s="338"/>
      <c r="D250" s="338"/>
      <c r="E250" s="338"/>
      <c r="F250" s="338"/>
    </row>
    <row r="251" spans="1:6" ht="14.1" customHeight="1">
      <c r="A251" s="324"/>
      <c r="B251"/>
      <c r="C251" s="30"/>
      <c r="D251" s="180"/>
      <c r="E251" s="180"/>
      <c r="F251" s="180"/>
    </row>
    <row r="252" spans="1:6" ht="0.75" customHeight="1">
      <c r="A252" s="324"/>
      <c r="B252"/>
      <c r="C252" s="30"/>
      <c r="D252" s="180"/>
      <c r="E252" s="180"/>
      <c r="F252" s="180"/>
    </row>
    <row r="253" spans="1:6" ht="14.1" customHeight="1">
      <c r="A253" s="339" t="s">
        <v>341</v>
      </c>
      <c r="B253" s="339"/>
      <c r="C253" s="339"/>
      <c r="D253" s="339"/>
      <c r="E253" s="339"/>
      <c r="F253" s="339"/>
    </row>
    <row r="254" spans="1:6" ht="14.1" customHeight="1">
      <c r="A254" s="323"/>
      <c r="B254"/>
      <c r="C254" s="30"/>
      <c r="D254" s="180"/>
      <c r="E254" s="180"/>
      <c r="F254" s="180"/>
    </row>
    <row r="255" spans="1:6" s="30" customFormat="1" ht="16.5" customHeight="1">
      <c r="A255" s="338" t="s">
        <v>342</v>
      </c>
      <c r="B255" s="338"/>
      <c r="C255" s="338"/>
      <c r="D255" s="338"/>
      <c r="E255" s="338"/>
      <c r="F255" s="338"/>
    </row>
    <row r="256" spans="1:6" s="30" customFormat="1" ht="78" customHeight="1">
      <c r="A256" s="338" t="s">
        <v>343</v>
      </c>
      <c r="B256" s="338"/>
      <c r="C256" s="338"/>
      <c r="D256" s="338"/>
      <c r="E256" s="338"/>
      <c r="F256" s="338"/>
    </row>
    <row r="257" ht="14.1" customHeight="1"/>
    <row r="258" ht="14.1" customHeight="1"/>
    <row r="259" ht="14.1" customHeight="1"/>
    <row r="260" ht="14.1" customHeight="1"/>
    <row r="261" ht="14.1" customHeight="1"/>
    <row r="262" ht="14.1" customHeight="1"/>
    <row r="263" ht="14.1" customHeight="1"/>
    <row r="264" ht="14.1" customHeight="1"/>
    <row r="265" ht="14.1" customHeight="1"/>
    <row r="266" ht="14.1" customHeight="1"/>
    <row r="267" ht="14.1" customHeight="1"/>
    <row r="268" ht="14.1" customHeight="1"/>
    <row r="269" ht="14.1" customHeight="1"/>
    <row r="270" ht="14.1" customHeight="1"/>
    <row r="271" ht="14.1" customHeight="1"/>
    <row r="272" ht="13.5" customHeight="1"/>
    <row r="273" ht="14.1" customHeight="1"/>
    <row r="274" ht="14.1" customHeight="1"/>
    <row r="275" ht="14.1" customHeight="1"/>
    <row r="276" ht="14.1" customHeight="1"/>
    <row r="277" ht="14.1" customHeight="1"/>
    <row r="278" ht="14.1" customHeight="1"/>
    <row r="279" ht="14.1" customHeight="1"/>
    <row r="280" ht="14.1" customHeight="1"/>
    <row r="281" ht="14.1" customHeight="1"/>
    <row r="282" ht="14.1" customHeight="1"/>
    <row r="283" ht="14.1" customHeight="1"/>
    <row r="284" ht="14.1" customHeight="1"/>
    <row r="285" ht="14.1" customHeight="1"/>
    <row r="286" ht="14.1" customHeight="1"/>
    <row r="287" ht="14.1" customHeight="1"/>
    <row r="288" ht="14.1" customHeight="1"/>
    <row r="289" ht="14.1" customHeight="1"/>
    <row r="290" ht="14.1" customHeight="1"/>
    <row r="291" ht="14.1" customHeight="1"/>
    <row r="292" ht="14.1" customHeight="1"/>
    <row r="293" ht="14.1" customHeight="1"/>
    <row r="294" ht="14.1" customHeight="1"/>
    <row r="295" ht="14.1" customHeight="1"/>
    <row r="296" ht="14.1" customHeight="1"/>
    <row r="297" ht="14.1" customHeight="1"/>
    <row r="298" ht="14.1" customHeight="1"/>
    <row r="299" ht="14.1" customHeight="1"/>
    <row r="300" ht="14.1" customHeight="1"/>
    <row r="301" ht="14.1" customHeight="1"/>
    <row r="302" ht="14.1" customHeight="1"/>
    <row r="303" ht="14.1" customHeight="1"/>
    <row r="304" ht="14.1" customHeight="1"/>
    <row r="305" ht="14.1" customHeight="1"/>
    <row r="306" ht="14.1" customHeight="1"/>
    <row r="307" ht="14.1" customHeight="1"/>
    <row r="308" ht="14.1" customHeight="1"/>
    <row r="309" ht="14.1" customHeight="1"/>
    <row r="310" ht="14.1" customHeight="1"/>
    <row r="311" ht="14.1" customHeight="1"/>
    <row r="312" ht="14.1" customHeight="1"/>
    <row r="313" ht="14.1" customHeight="1"/>
    <row r="314" ht="14.1" customHeight="1"/>
    <row r="315" ht="14.1" customHeight="1"/>
    <row r="316" ht="14.1" customHeight="1"/>
    <row r="317" ht="14.1" customHeight="1"/>
    <row r="318" ht="14.1" customHeight="1"/>
    <row r="319" ht="14.1" customHeight="1"/>
    <row r="320" ht="14.1" customHeight="1"/>
    <row r="321" ht="14.1" customHeight="1"/>
    <row r="322" ht="14.1" customHeight="1"/>
    <row r="323" ht="14.1" customHeight="1"/>
    <row r="324" ht="14.1" customHeight="1"/>
    <row r="325" ht="14.1" customHeight="1"/>
    <row r="326" ht="14.1" customHeight="1"/>
    <row r="327" ht="14.1" customHeight="1"/>
    <row r="328" ht="14.1" customHeight="1"/>
    <row r="329" ht="14.1" customHeight="1"/>
    <row r="330" ht="14.1" customHeight="1"/>
    <row r="331" ht="14.1" customHeight="1"/>
    <row r="332" ht="14.1" customHeight="1"/>
    <row r="333" ht="14.1" customHeight="1"/>
    <row r="334" ht="14.1" customHeight="1"/>
    <row r="335" ht="14.1" customHeight="1"/>
    <row r="336" ht="14.1" customHeight="1"/>
    <row r="337" ht="14.1" customHeight="1"/>
    <row r="338" ht="14.1" customHeight="1"/>
    <row r="339" ht="14.1" customHeight="1"/>
    <row r="340" ht="14.1" customHeight="1"/>
    <row r="341" ht="14.1" customHeight="1"/>
    <row r="342" ht="14.1" customHeight="1"/>
    <row r="343" ht="14.1" customHeight="1"/>
    <row r="344" ht="14.1" customHeight="1"/>
    <row r="345" ht="14.1" customHeight="1"/>
    <row r="346" ht="14.1" customHeight="1"/>
    <row r="347" ht="14.1" customHeight="1"/>
  </sheetData>
  <mergeCells count="47">
    <mergeCell ref="A212:F212"/>
    <mergeCell ref="A202:F202"/>
    <mergeCell ref="A198:F198"/>
    <mergeCell ref="A201:F201"/>
    <mergeCell ref="A197:F197"/>
    <mergeCell ref="A203:F203"/>
    <mergeCell ref="A204:F204"/>
    <mergeCell ref="A205:F205"/>
    <mergeCell ref="A207:F207"/>
    <mergeCell ref="A208:F208"/>
    <mergeCell ref="A209:F209"/>
    <mergeCell ref="A210:F210"/>
    <mergeCell ref="A225:F225"/>
    <mergeCell ref="A214:F214"/>
    <mergeCell ref="A215:F215"/>
    <mergeCell ref="A216:F216"/>
    <mergeCell ref="A217:F217"/>
    <mergeCell ref="A218:F218"/>
    <mergeCell ref="A219:F219"/>
    <mergeCell ref="A220:F220"/>
    <mergeCell ref="A221:F221"/>
    <mergeCell ref="A222:F222"/>
    <mergeCell ref="A223:F223"/>
    <mergeCell ref="A224:F224"/>
    <mergeCell ref="A239:F239"/>
    <mergeCell ref="A226:F226"/>
    <mergeCell ref="A227:F227"/>
    <mergeCell ref="A228:F228"/>
    <mergeCell ref="A229:F229"/>
    <mergeCell ref="A230:F230"/>
    <mergeCell ref="A231:F231"/>
    <mergeCell ref="A232:F232"/>
    <mergeCell ref="A234:F234"/>
    <mergeCell ref="A235:F235"/>
    <mergeCell ref="A237:F237"/>
    <mergeCell ref="A238:F238"/>
    <mergeCell ref="A256:F256"/>
    <mergeCell ref="A253:F253"/>
    <mergeCell ref="A246:F246"/>
    <mergeCell ref="A248:F248"/>
    <mergeCell ref="A249:F249"/>
    <mergeCell ref="A250:F250"/>
    <mergeCell ref="A255:F255"/>
    <mergeCell ref="A240:F240"/>
    <mergeCell ref="A242:F242"/>
    <mergeCell ref="A243:F243"/>
    <mergeCell ref="A244:F244"/>
  </mergeCells>
  <phoneticPr fontId="0" type="noConversion"/>
  <hyperlinks>
    <hyperlink ref="A228" r:id="rId1" display="http://www.epagri.sc.gov.br/"/>
    <hyperlink ref="A255" r:id="rId2" display="http://cepa.epagri.sc.gov.br/agroindicadores/custos/custo10/Arroz.xls"/>
    <hyperlink ref="A256" r:id="rId3" display="http://www.epagri.sc.gov.br/"/>
  </hyperlinks>
  <printOptions headings="1"/>
  <pageMargins left="0.47244094488188981" right="0.59055118110236227" top="1.1811023622047245" bottom="0.78740157480314965" header="0" footer="0"/>
  <pageSetup paperSize="9" scale="90" orientation="portrait" horizontalDpi="1200" verticalDpi="1200" r:id="rId4"/>
  <headerFooter alignWithMargins="0"/>
</worksheet>
</file>

<file path=xl/worksheets/sheet2.xml><?xml version="1.0" encoding="utf-8"?>
<worksheet xmlns="http://schemas.openxmlformats.org/spreadsheetml/2006/main" xmlns:r="http://schemas.openxmlformats.org/officeDocument/2006/relationships">
  <sheetPr codeName="Plan2"/>
  <dimension ref="B1:B44"/>
  <sheetViews>
    <sheetView topLeftCell="A22" workbookViewId="0">
      <selection activeCell="B29" sqref="B29"/>
    </sheetView>
  </sheetViews>
  <sheetFormatPr defaultRowHeight="15"/>
  <cols>
    <col min="1" max="1" width="6.44140625" customWidth="1"/>
    <col min="2" max="2" width="97.6640625" customWidth="1"/>
  </cols>
  <sheetData>
    <row r="1" spans="2:2" ht="15.75" customHeight="1" thickTop="1">
      <c r="B1" s="14" t="s">
        <v>48</v>
      </c>
    </row>
    <row r="2" spans="2:2" ht="15.75" customHeight="1">
      <c r="B2" s="15"/>
    </row>
    <row r="3" spans="2:2" ht="99.75" customHeight="1">
      <c r="B3" s="16" t="s">
        <v>49</v>
      </c>
    </row>
    <row r="4" spans="2:2" ht="98.25" customHeight="1">
      <c r="B4" s="16" t="s">
        <v>50</v>
      </c>
    </row>
    <row r="5" spans="2:2" ht="34.5" customHeight="1">
      <c r="B5" s="17" t="s">
        <v>51</v>
      </c>
    </row>
    <row r="6" spans="2:2" ht="102" customHeight="1">
      <c r="B6" s="17" t="s">
        <v>52</v>
      </c>
    </row>
    <row r="7" spans="2:2" ht="105.75" customHeight="1">
      <c r="B7" s="17" t="s">
        <v>53</v>
      </c>
    </row>
    <row r="8" spans="2:2">
      <c r="B8" s="18"/>
    </row>
    <row r="9" spans="2:2">
      <c r="B9" s="19" t="s">
        <v>54</v>
      </c>
    </row>
    <row r="10" spans="2:2">
      <c r="B10" s="18"/>
    </row>
    <row r="11" spans="2:2" ht="120">
      <c r="B11" s="17" t="s">
        <v>55</v>
      </c>
    </row>
    <row r="12" spans="2:2" ht="120.75" customHeight="1">
      <c r="B12" s="17" t="s">
        <v>56</v>
      </c>
    </row>
    <row r="13" spans="2:2" ht="88.5" customHeight="1">
      <c r="B13" s="17" t="s">
        <v>57</v>
      </c>
    </row>
    <row r="14" spans="2:2" ht="81.75" customHeight="1">
      <c r="B14" s="25" t="s">
        <v>72</v>
      </c>
    </row>
    <row r="15" spans="2:2" ht="67.5" customHeight="1">
      <c r="B15" s="25" t="s">
        <v>73</v>
      </c>
    </row>
    <row r="16" spans="2:2" ht="81.75" customHeight="1">
      <c r="B16" s="25" t="s">
        <v>88</v>
      </c>
    </row>
    <row r="17" spans="2:2" ht="79.5" customHeight="1">
      <c r="B17" s="25" t="s">
        <v>74</v>
      </c>
    </row>
    <row r="18" spans="2:2" ht="63" customHeight="1">
      <c r="B18" s="25" t="s">
        <v>75</v>
      </c>
    </row>
    <row r="19" spans="2:2" ht="108.75" customHeight="1">
      <c r="B19" s="25" t="s">
        <v>76</v>
      </c>
    </row>
    <row r="20" spans="2:2" ht="65.25" customHeight="1">
      <c r="B20" s="25" t="s">
        <v>89</v>
      </c>
    </row>
    <row r="21" spans="2:2" ht="81.75" customHeight="1">
      <c r="B21" s="25" t="s">
        <v>77</v>
      </c>
    </row>
    <row r="22" spans="2:2" ht="93" customHeight="1">
      <c r="B22" s="25" t="s">
        <v>79</v>
      </c>
    </row>
    <row r="23" spans="2:2" ht="62.25" customHeight="1">
      <c r="B23" s="25" t="s">
        <v>78</v>
      </c>
    </row>
    <row r="24" spans="2:2">
      <c r="B24" s="18"/>
    </row>
    <row r="25" spans="2:2">
      <c r="B25" s="19" t="s">
        <v>58</v>
      </c>
    </row>
    <row r="26" spans="2:2">
      <c r="B26" s="18"/>
    </row>
    <row r="27" spans="2:2" ht="15.75">
      <c r="B27" s="20" t="s">
        <v>59</v>
      </c>
    </row>
    <row r="28" spans="2:2">
      <c r="B28" s="18"/>
    </row>
    <row r="29" spans="2:2" ht="54.75" customHeight="1">
      <c r="B29" s="17" t="s">
        <v>66</v>
      </c>
    </row>
    <row r="30" spans="2:2" ht="56.25" customHeight="1">
      <c r="B30" s="17" t="s">
        <v>60</v>
      </c>
    </row>
    <row r="31" spans="2:2" ht="54" customHeight="1">
      <c r="B31" s="17" t="s">
        <v>67</v>
      </c>
    </row>
    <row r="32" spans="2:2" ht="67.5" customHeight="1">
      <c r="B32" s="17" t="s">
        <v>61</v>
      </c>
    </row>
    <row r="33" spans="2:2" ht="61.5">
      <c r="B33" s="17" t="s">
        <v>68</v>
      </c>
    </row>
    <row r="34" spans="2:2" ht="90.75" customHeight="1">
      <c r="B34" s="17" t="s">
        <v>80</v>
      </c>
    </row>
    <row r="35" spans="2:2" ht="62.25" customHeight="1">
      <c r="B35" s="17" t="s">
        <v>62</v>
      </c>
    </row>
    <row r="36" spans="2:2" ht="95.25" customHeight="1">
      <c r="B36" s="17" t="s">
        <v>70</v>
      </c>
    </row>
    <row r="37" spans="2:2" ht="125.25" customHeight="1">
      <c r="B37" s="17" t="s">
        <v>81</v>
      </c>
    </row>
    <row r="38" spans="2:2">
      <c r="B38" s="18"/>
    </row>
    <row r="39" spans="2:2" ht="15.75">
      <c r="B39" s="20" t="s">
        <v>63</v>
      </c>
    </row>
    <row r="40" spans="2:2">
      <c r="B40" s="18"/>
    </row>
    <row r="41" spans="2:2" ht="77.25">
      <c r="B41" s="17" t="s">
        <v>71</v>
      </c>
    </row>
    <row r="42" spans="2:2" ht="83.25" customHeight="1">
      <c r="B42" s="17" t="s">
        <v>82</v>
      </c>
    </row>
    <row r="43" spans="2:2" ht="35.25" customHeight="1" thickBot="1">
      <c r="B43" s="21" t="s">
        <v>83</v>
      </c>
    </row>
    <row r="44" spans="2:2" ht="15.75" thickTop="1"/>
  </sheetData>
  <pageMargins left="0.511811024" right="0.511811024" top="0.78740157499999996" bottom="0.78740157499999996" header="0.31496062000000002" footer="0.31496062000000002"/>
  <pageSetup paperSize="9" orientation="portrait" horizontalDpi="1200" verticalDpi="1200" r:id="rId1"/>
</worksheet>
</file>

<file path=xl/worksheets/sheet3.xml><?xml version="1.0" encoding="utf-8"?>
<worksheet xmlns="http://schemas.openxmlformats.org/spreadsheetml/2006/main" xmlns:r="http://schemas.openxmlformats.org/officeDocument/2006/relationships">
  <sheetPr codeName="Plan3"/>
  <dimension ref="A1:H279"/>
  <sheetViews>
    <sheetView showGridLines="0" tabSelected="1" zoomScale="115" zoomScaleNormal="115" workbookViewId="0">
      <pane ySplit="4" topLeftCell="A5" activePane="bottomLeft" state="frozen"/>
      <selection pane="bottomLeft" activeCell="A4" sqref="A4"/>
    </sheetView>
  </sheetViews>
  <sheetFormatPr defaultColWidth="11.5546875" defaultRowHeight="11.25"/>
  <cols>
    <col min="1" max="1" width="19.6640625" style="30" customWidth="1"/>
    <col min="2" max="2" width="24.77734375" style="30" customWidth="1"/>
    <col min="3" max="3" width="5.33203125" style="30" customWidth="1"/>
    <col min="4" max="4" width="7.5546875" style="180" customWidth="1"/>
    <col min="5" max="5" width="8.21875" style="180" customWidth="1"/>
    <col min="6" max="6" width="9.21875" style="180" customWidth="1"/>
    <col min="7" max="7" width="11.5546875" style="30" customWidth="1"/>
    <col min="8" max="16384" width="11.5546875" style="30"/>
  </cols>
  <sheetData>
    <row r="1" spans="1:6">
      <c r="A1" s="30" t="s">
        <v>394</v>
      </c>
    </row>
    <row r="2" spans="1:6" ht="13.5" customHeight="1">
      <c r="A2" s="181" t="s">
        <v>353</v>
      </c>
      <c r="B2" s="182"/>
      <c r="C2" s="182"/>
      <c r="D2" s="183"/>
      <c r="E2" s="183"/>
      <c r="F2" s="183"/>
    </row>
    <row r="3" spans="1:6" ht="13.5" customHeight="1" thickBot="1">
      <c r="A3" s="181"/>
      <c r="B3" s="182"/>
      <c r="C3" s="182"/>
      <c r="D3" s="183"/>
      <c r="E3" s="183"/>
      <c r="F3" s="183"/>
    </row>
    <row r="4" spans="1:6" ht="35.25" thickTop="1" thickBot="1">
      <c r="A4" s="266" t="s">
        <v>18</v>
      </c>
      <c r="B4" s="267" t="s">
        <v>0</v>
      </c>
      <c r="C4" s="268" t="s">
        <v>137</v>
      </c>
      <c r="D4" s="269" t="s">
        <v>136</v>
      </c>
      <c r="E4" s="269" t="s">
        <v>19</v>
      </c>
      <c r="F4" s="270" t="s">
        <v>20</v>
      </c>
    </row>
    <row r="5" spans="1:6" ht="14.1" customHeight="1">
      <c r="A5" s="184"/>
      <c r="B5" s="135"/>
      <c r="C5" s="185"/>
      <c r="D5" s="186"/>
      <c r="E5" s="186"/>
      <c r="F5" s="187"/>
    </row>
    <row r="6" spans="1:6" ht="14.1" customHeight="1">
      <c r="A6" s="334" t="s">
        <v>21</v>
      </c>
      <c r="B6" s="189"/>
      <c r="C6" s="189"/>
      <c r="D6" s="190"/>
      <c r="E6" s="190"/>
      <c r="F6" s="191">
        <f>ROUND((F7+F42+F58+F68+F69+F71+F73+F78+F81),2)</f>
        <v>3010.52</v>
      </c>
    </row>
    <row r="7" spans="1:6" s="195" customFormat="1" ht="14.1" customHeight="1">
      <c r="A7" s="192" t="s">
        <v>6</v>
      </c>
      <c r="B7" s="76"/>
      <c r="C7" s="76"/>
      <c r="D7" s="76"/>
      <c r="E7" s="193"/>
      <c r="F7" s="194">
        <f>SUM(F8:F41)</f>
        <v>1295.1967750000001</v>
      </c>
    </row>
    <row r="8" spans="1:6" ht="14.1" customHeight="1">
      <c r="A8" s="196" t="s">
        <v>22</v>
      </c>
      <c r="B8" s="130" t="s">
        <v>14</v>
      </c>
      <c r="C8" s="75" t="s">
        <v>2</v>
      </c>
      <c r="D8" s="326">
        <v>125</v>
      </c>
      <c r="E8" s="103">
        <v>1.45</v>
      </c>
      <c r="F8" s="198">
        <f t="shared" ref="F8:F41" si="0">(D8*E8)</f>
        <v>181.25</v>
      </c>
    </row>
    <row r="9" spans="1:6" ht="14.1" customHeight="1">
      <c r="A9" s="196" t="s">
        <v>23</v>
      </c>
      <c r="B9" s="130" t="s">
        <v>40</v>
      </c>
      <c r="C9" s="75" t="s">
        <v>2</v>
      </c>
      <c r="D9" s="326">
        <v>250</v>
      </c>
      <c r="E9" s="103">
        <v>1.17</v>
      </c>
      <c r="F9" s="198">
        <f t="shared" si="0"/>
        <v>292.5</v>
      </c>
    </row>
    <row r="10" spans="1:6" ht="14.1" customHeight="1">
      <c r="A10" s="196" t="s">
        <v>24</v>
      </c>
      <c r="B10" s="130" t="s">
        <v>3</v>
      </c>
      <c r="C10" s="75" t="s">
        <v>2</v>
      </c>
      <c r="D10" s="326">
        <v>200</v>
      </c>
      <c r="E10" s="103">
        <v>1.24</v>
      </c>
      <c r="F10" s="198">
        <f t="shared" si="0"/>
        <v>248</v>
      </c>
    </row>
    <row r="11" spans="1:6" ht="14.1" customHeight="1">
      <c r="A11" s="196" t="s">
        <v>25</v>
      </c>
      <c r="B11" s="130" t="s">
        <v>42</v>
      </c>
      <c r="C11" s="75" t="s">
        <v>5</v>
      </c>
      <c r="D11" s="326">
        <v>1.5</v>
      </c>
      <c r="E11" s="103">
        <v>20.38</v>
      </c>
      <c r="F11" s="198">
        <f t="shared" si="0"/>
        <v>30.57</v>
      </c>
    </row>
    <row r="12" spans="1:6" ht="14.1" customHeight="1">
      <c r="A12" s="196"/>
      <c r="B12" s="130" t="s">
        <v>43</v>
      </c>
      <c r="C12" s="75" t="s">
        <v>5</v>
      </c>
      <c r="D12" s="103">
        <v>1.8</v>
      </c>
      <c r="E12" s="103">
        <v>38.369999999999997</v>
      </c>
      <c r="F12" s="198">
        <f t="shared" si="0"/>
        <v>69.066000000000003</v>
      </c>
    </row>
    <row r="13" spans="1:6" ht="14.1" customHeight="1">
      <c r="A13" s="196"/>
      <c r="B13" s="130" t="s">
        <v>84</v>
      </c>
      <c r="C13" s="75" t="s">
        <v>5</v>
      </c>
      <c r="D13" s="328">
        <v>0.06</v>
      </c>
      <c r="E13" s="103">
        <v>541.34</v>
      </c>
      <c r="F13" s="198">
        <f t="shared" si="0"/>
        <v>32.480400000000003</v>
      </c>
    </row>
    <row r="14" spans="1:6" ht="14.1" customHeight="1">
      <c r="A14" s="199"/>
      <c r="B14" s="130" t="s">
        <v>85</v>
      </c>
      <c r="C14" s="75" t="s">
        <v>86</v>
      </c>
      <c r="D14" s="326">
        <v>20</v>
      </c>
      <c r="E14" s="103">
        <v>0.3</v>
      </c>
      <c r="F14" s="198">
        <f t="shared" si="0"/>
        <v>6</v>
      </c>
    </row>
    <row r="15" spans="1:6" ht="14.1" customHeight="1">
      <c r="A15" s="199"/>
      <c r="B15" s="130"/>
      <c r="C15" s="75"/>
      <c r="D15" s="326"/>
      <c r="E15" s="103"/>
      <c r="F15" s="198">
        <f>D15*E15</f>
        <v>0</v>
      </c>
    </row>
    <row r="16" spans="1:6" ht="14.1" customHeight="1">
      <c r="A16" s="199"/>
      <c r="B16" s="130"/>
      <c r="C16" s="75"/>
      <c r="D16" s="326"/>
      <c r="E16" s="103"/>
      <c r="F16" s="198">
        <f>D16*E16</f>
        <v>0</v>
      </c>
    </row>
    <row r="17" spans="1:8" ht="14.1" customHeight="1">
      <c r="A17" s="199"/>
      <c r="B17" s="130"/>
      <c r="C17" s="75"/>
      <c r="D17" s="326"/>
      <c r="E17" s="103"/>
      <c r="F17" s="198">
        <f t="shared" si="0"/>
        <v>0</v>
      </c>
    </row>
    <row r="18" spans="1:8" ht="14.1" customHeight="1">
      <c r="A18" s="199"/>
      <c r="B18" s="130"/>
      <c r="C18" s="75"/>
      <c r="D18" s="326"/>
      <c r="E18" s="103"/>
      <c r="F18" s="198">
        <f t="shared" si="0"/>
        <v>0</v>
      </c>
    </row>
    <row r="19" spans="1:8" ht="14.1" customHeight="1">
      <c r="A19" s="196" t="s">
        <v>26</v>
      </c>
      <c r="B19" s="130" t="s">
        <v>87</v>
      </c>
      <c r="C19" s="75" t="s">
        <v>2</v>
      </c>
      <c r="D19" s="103">
        <v>0.15</v>
      </c>
      <c r="E19" s="103">
        <v>247.48</v>
      </c>
      <c r="F19" s="198">
        <f t="shared" si="0"/>
        <v>37.122</v>
      </c>
    </row>
    <row r="20" spans="1:8" ht="14.1" customHeight="1">
      <c r="A20" s="196"/>
      <c r="B20" s="130" t="s">
        <v>4</v>
      </c>
      <c r="C20" s="75" t="s">
        <v>2</v>
      </c>
      <c r="D20" s="326">
        <v>15</v>
      </c>
      <c r="E20" s="103">
        <v>8.86</v>
      </c>
      <c r="F20" s="198">
        <f t="shared" si="0"/>
        <v>132.89999999999998</v>
      </c>
    </row>
    <row r="21" spans="1:8" ht="14.1" customHeight="1">
      <c r="A21" s="196"/>
      <c r="B21" s="130"/>
      <c r="C21" s="75"/>
      <c r="D21" s="326"/>
      <c r="E21" s="103"/>
      <c r="F21" s="198">
        <f>D21*E21</f>
        <v>0</v>
      </c>
    </row>
    <row r="22" spans="1:8" ht="14.1" customHeight="1">
      <c r="A22" s="196"/>
      <c r="B22" s="130"/>
      <c r="C22" s="75"/>
      <c r="D22" s="326"/>
      <c r="E22" s="103"/>
      <c r="F22" s="198">
        <f>D22*E22</f>
        <v>0</v>
      </c>
    </row>
    <row r="23" spans="1:8" ht="14.1" customHeight="1">
      <c r="A23" s="196"/>
      <c r="B23" s="130"/>
      <c r="C23" s="75" t="s">
        <v>5</v>
      </c>
      <c r="D23" s="326"/>
      <c r="E23" s="103"/>
      <c r="F23" s="198">
        <f t="shared" si="0"/>
        <v>0</v>
      </c>
    </row>
    <row r="24" spans="1:8" ht="14.1" customHeight="1">
      <c r="A24" s="196"/>
      <c r="B24" s="130"/>
      <c r="C24" s="75" t="s">
        <v>2</v>
      </c>
      <c r="D24" s="326">
        <v>0</v>
      </c>
      <c r="E24" s="103">
        <v>0</v>
      </c>
      <c r="F24" s="198">
        <f t="shared" si="0"/>
        <v>0</v>
      </c>
      <c r="H24" s="30" t="s">
        <v>296</v>
      </c>
    </row>
    <row r="25" spans="1:8" ht="14.1" customHeight="1">
      <c r="A25" s="196" t="s">
        <v>44</v>
      </c>
      <c r="B25" s="130" t="s">
        <v>45</v>
      </c>
      <c r="C25" s="75" t="s">
        <v>2</v>
      </c>
      <c r="D25" s="326">
        <v>0.2</v>
      </c>
      <c r="E25" s="103">
        <v>140.82</v>
      </c>
      <c r="F25" s="198">
        <f t="shared" si="0"/>
        <v>28.164000000000001</v>
      </c>
    </row>
    <row r="26" spans="1:8" ht="14.1" customHeight="1">
      <c r="A26" s="196"/>
      <c r="B26" s="130"/>
      <c r="C26" s="75"/>
      <c r="D26" s="326"/>
      <c r="E26" s="103"/>
      <c r="F26" s="198">
        <f>D26*E26</f>
        <v>0</v>
      </c>
    </row>
    <row r="27" spans="1:8" ht="14.1" customHeight="1">
      <c r="A27" s="196"/>
      <c r="B27" s="130"/>
      <c r="C27" s="75"/>
      <c r="D27" s="326"/>
      <c r="E27" s="103"/>
      <c r="F27" s="198">
        <f>D27*E27</f>
        <v>0</v>
      </c>
    </row>
    <row r="28" spans="1:8" ht="14.1" customHeight="1">
      <c r="A28" s="196"/>
      <c r="B28" s="130"/>
      <c r="C28" s="75"/>
      <c r="D28" s="326"/>
      <c r="E28" s="103"/>
      <c r="F28" s="198">
        <f>D28*E28</f>
        <v>0</v>
      </c>
    </row>
    <row r="29" spans="1:8" ht="14.1" customHeight="1">
      <c r="A29" s="199"/>
      <c r="B29" s="163"/>
      <c r="C29" s="75" t="s">
        <v>5</v>
      </c>
      <c r="D29" s="326"/>
      <c r="E29" s="103"/>
      <c r="F29" s="198">
        <f t="shared" si="0"/>
        <v>0</v>
      </c>
    </row>
    <row r="30" spans="1:8" ht="14.1" customHeight="1">
      <c r="A30" s="199"/>
      <c r="B30" s="163"/>
      <c r="C30" s="75" t="s">
        <v>5</v>
      </c>
      <c r="D30" s="326"/>
      <c r="E30" s="103"/>
      <c r="F30" s="198">
        <f t="shared" si="0"/>
        <v>0</v>
      </c>
    </row>
    <row r="31" spans="1:8" ht="14.1" customHeight="1">
      <c r="A31" s="199" t="s">
        <v>356</v>
      </c>
      <c r="B31" s="140" t="s">
        <v>148</v>
      </c>
      <c r="C31" s="66" t="s">
        <v>5</v>
      </c>
      <c r="D31" s="200">
        <f>D154*D155</f>
        <v>67.5</v>
      </c>
      <c r="E31" s="103">
        <v>2.35</v>
      </c>
      <c r="F31" s="198">
        <f>(D31*E31)</f>
        <v>158.625</v>
      </c>
    </row>
    <row r="32" spans="1:8" s="29" customFormat="1" ht="14.1" customHeight="1">
      <c r="A32" s="196"/>
      <c r="B32" s="134" t="s">
        <v>381</v>
      </c>
      <c r="C32" s="76"/>
      <c r="D32" s="201"/>
      <c r="E32" s="76"/>
      <c r="F32" s="198"/>
    </row>
    <row r="33" spans="1:8" ht="14.1" customHeight="1">
      <c r="A33" s="199" t="s">
        <v>357</v>
      </c>
      <c r="B33" s="160" t="s">
        <v>196</v>
      </c>
      <c r="C33" s="76"/>
      <c r="D33" s="201"/>
      <c r="E33" s="76">
        <f>0.15*E31</f>
        <v>0.35249999999999998</v>
      </c>
      <c r="F33" s="198">
        <f>(0.15*F31)</f>
        <v>23.793749999999999</v>
      </c>
    </row>
    <row r="34" spans="1:8" ht="14.1" customHeight="1">
      <c r="A34" s="199" t="s">
        <v>358</v>
      </c>
      <c r="B34" s="140" t="s">
        <v>148</v>
      </c>
      <c r="C34" s="76" t="s">
        <v>5</v>
      </c>
      <c r="D34" s="201">
        <f>D163*D164</f>
        <v>20.25</v>
      </c>
      <c r="E34" s="203">
        <v>2.35</v>
      </c>
      <c r="F34" s="202">
        <f>D34*E34</f>
        <v>47.587499999999999</v>
      </c>
    </row>
    <row r="35" spans="1:8" ht="14.1" customHeight="1">
      <c r="A35" s="199" t="s">
        <v>361</v>
      </c>
      <c r="B35" s="134" t="s">
        <v>382</v>
      </c>
      <c r="C35" s="76"/>
      <c r="D35" s="201"/>
      <c r="E35" s="76"/>
      <c r="F35" s="202"/>
    </row>
    <row r="36" spans="1:8" ht="14.1" customHeight="1">
      <c r="A36" s="199" t="s">
        <v>359</v>
      </c>
      <c r="B36" s="160" t="s">
        <v>195</v>
      </c>
      <c r="C36" s="76"/>
      <c r="D36" s="201"/>
      <c r="E36" s="76">
        <f>0.15*E34</f>
        <v>0.35249999999999998</v>
      </c>
      <c r="F36" s="202">
        <f>0.15*F34</f>
        <v>7.1381249999999996</v>
      </c>
    </row>
    <row r="37" spans="1:8" ht="14.1" customHeight="1">
      <c r="A37" s="199" t="s">
        <v>360</v>
      </c>
      <c r="B37" s="134" t="s">
        <v>383</v>
      </c>
      <c r="C37" s="76" t="s">
        <v>5</v>
      </c>
      <c r="D37" s="201">
        <f>D166*D167</f>
        <v>18.7</v>
      </c>
      <c r="E37" s="203">
        <v>0</v>
      </c>
      <c r="F37" s="202">
        <f>D37*E37</f>
        <v>0</v>
      </c>
      <c r="H37" s="292"/>
    </row>
    <row r="38" spans="1:8" ht="14.1" customHeight="1">
      <c r="A38" s="199" t="s">
        <v>362</v>
      </c>
      <c r="B38" s="160" t="s">
        <v>266</v>
      </c>
      <c r="C38" s="189"/>
      <c r="D38" s="201"/>
      <c r="E38" s="76"/>
      <c r="F38" s="202">
        <f>0.15*F37</f>
        <v>0</v>
      </c>
    </row>
    <row r="39" spans="1:8" ht="14.1" customHeight="1">
      <c r="A39" s="199" t="s">
        <v>194</v>
      </c>
      <c r="B39" s="130"/>
      <c r="C39" s="75"/>
      <c r="D39" s="166"/>
      <c r="E39" s="203"/>
      <c r="F39" s="204">
        <f>(D39*E39)</f>
        <v>0</v>
      </c>
    </row>
    <row r="40" spans="1:8" ht="14.1" customHeight="1">
      <c r="A40" s="205"/>
      <c r="B40" s="206"/>
      <c r="C40" s="207"/>
      <c r="D40" s="208"/>
      <c r="E40" s="209"/>
      <c r="F40" s="202">
        <f t="shared" si="0"/>
        <v>0</v>
      </c>
    </row>
    <row r="41" spans="1:8" ht="14.1" customHeight="1">
      <c r="A41" s="205"/>
      <c r="B41" s="210"/>
      <c r="C41" s="207"/>
      <c r="D41" s="208"/>
      <c r="E41" s="209"/>
      <c r="F41" s="202">
        <f t="shared" si="0"/>
        <v>0</v>
      </c>
    </row>
    <row r="42" spans="1:8" s="195" customFormat="1" ht="14.1" customHeight="1">
      <c r="A42" s="192" t="s">
        <v>17</v>
      </c>
      <c r="B42" s="76"/>
      <c r="C42" s="76"/>
      <c r="D42" s="76"/>
      <c r="E42" s="76"/>
      <c r="F42" s="194">
        <f>SUM(F43:F57)</f>
        <v>688.65945454545465</v>
      </c>
    </row>
    <row r="43" spans="1:8" ht="14.1" customHeight="1">
      <c r="A43" s="196" t="s">
        <v>27</v>
      </c>
      <c r="B43" s="163"/>
      <c r="C43" s="75" t="s">
        <v>138</v>
      </c>
      <c r="D43" s="326">
        <v>0.3</v>
      </c>
      <c r="E43" s="103">
        <v>77.48</v>
      </c>
      <c r="F43" s="198">
        <f>(E43*D43)</f>
        <v>23.244</v>
      </c>
    </row>
    <row r="44" spans="1:8" ht="14.1" customHeight="1">
      <c r="A44" s="196" t="s">
        <v>28</v>
      </c>
      <c r="B44" s="163"/>
      <c r="C44" s="75" t="s">
        <v>138</v>
      </c>
      <c r="D44" s="326">
        <v>0.1</v>
      </c>
      <c r="E44" s="201">
        <f>E43</f>
        <v>77.48</v>
      </c>
      <c r="F44" s="198">
        <f t="shared" ref="F44:F52" si="1">(E44*D44)</f>
        <v>7.7480000000000011</v>
      </c>
    </row>
    <row r="45" spans="1:8" ht="14.1" customHeight="1">
      <c r="A45" s="196" t="s">
        <v>29</v>
      </c>
      <c r="B45" s="163"/>
      <c r="C45" s="75" t="s">
        <v>138</v>
      </c>
      <c r="D45" s="326">
        <v>0.1</v>
      </c>
      <c r="E45" s="201">
        <f>E43</f>
        <v>77.48</v>
      </c>
      <c r="F45" s="198">
        <f t="shared" si="1"/>
        <v>7.7480000000000011</v>
      </c>
    </row>
    <row r="46" spans="1:8" ht="14.1" customHeight="1">
      <c r="A46" s="196" t="s">
        <v>33</v>
      </c>
      <c r="B46" s="131" t="s">
        <v>15</v>
      </c>
      <c r="C46" s="75" t="s">
        <v>138</v>
      </c>
      <c r="D46" s="326">
        <v>0.4</v>
      </c>
      <c r="E46" s="201">
        <f>E43</f>
        <v>77.48</v>
      </c>
      <c r="F46" s="198">
        <f t="shared" si="1"/>
        <v>30.992000000000004</v>
      </c>
    </row>
    <row r="47" spans="1:8" s="214" customFormat="1">
      <c r="A47" s="211" t="s">
        <v>175</v>
      </c>
      <c r="B47" s="132"/>
      <c r="C47" s="212" t="s">
        <v>138</v>
      </c>
      <c r="D47" s="327">
        <v>2</v>
      </c>
      <c r="E47" s="201">
        <f>E43</f>
        <v>77.48</v>
      </c>
      <c r="F47" s="213">
        <f t="shared" si="1"/>
        <v>154.96</v>
      </c>
    </row>
    <row r="48" spans="1:8" ht="14.1" customHeight="1">
      <c r="A48" s="196" t="s">
        <v>30</v>
      </c>
      <c r="B48" s="130"/>
      <c r="C48" s="75" t="s">
        <v>138</v>
      </c>
      <c r="D48" s="326">
        <v>3</v>
      </c>
      <c r="E48" s="201">
        <f>E43</f>
        <v>77.48</v>
      </c>
      <c r="F48" s="198">
        <f t="shared" si="1"/>
        <v>232.44</v>
      </c>
    </row>
    <row r="49" spans="1:8" ht="14.1" customHeight="1">
      <c r="A49" s="196" t="s">
        <v>31</v>
      </c>
      <c r="B49" s="130"/>
      <c r="C49" s="75" t="s">
        <v>138</v>
      </c>
      <c r="D49" s="326">
        <v>0.3</v>
      </c>
      <c r="E49" s="201">
        <f>E43</f>
        <v>77.48</v>
      </c>
      <c r="F49" s="198">
        <f t="shared" si="1"/>
        <v>23.244</v>
      </c>
    </row>
    <row r="50" spans="1:8" ht="14.1" customHeight="1">
      <c r="A50" s="196" t="s">
        <v>32</v>
      </c>
      <c r="B50" s="131" t="s">
        <v>15</v>
      </c>
      <c r="C50" s="75" t="s">
        <v>138</v>
      </c>
      <c r="D50" s="326">
        <v>0.3</v>
      </c>
      <c r="E50" s="201">
        <f>E43</f>
        <v>77.48</v>
      </c>
      <c r="F50" s="198">
        <f t="shared" si="1"/>
        <v>23.244</v>
      </c>
    </row>
    <row r="51" spans="1:8" ht="14.1" customHeight="1">
      <c r="A51" s="196" t="s">
        <v>118</v>
      </c>
      <c r="B51" s="130" t="s">
        <v>7</v>
      </c>
      <c r="C51" s="75" t="s">
        <v>138</v>
      </c>
      <c r="D51" s="326">
        <v>0.3</v>
      </c>
      <c r="E51" s="201">
        <f>E43</f>
        <v>77.48</v>
      </c>
      <c r="F51" s="198">
        <f t="shared" si="1"/>
        <v>23.244</v>
      </c>
    </row>
    <row r="52" spans="1:8" ht="14.1" customHeight="1">
      <c r="A52" s="196" t="s">
        <v>363</v>
      </c>
      <c r="B52" s="131" t="s">
        <v>149</v>
      </c>
      <c r="C52" s="215" t="s">
        <v>143</v>
      </c>
      <c r="D52" s="76">
        <f>D154</f>
        <v>7.5</v>
      </c>
      <c r="E52" s="201">
        <f>2*1.75*F171/176</f>
        <v>13.482954545454545</v>
      </c>
      <c r="F52" s="198">
        <f t="shared" si="1"/>
        <v>101.12215909090909</v>
      </c>
    </row>
    <row r="53" spans="1:8" ht="14.1" customHeight="1">
      <c r="A53" s="216"/>
      <c r="B53" s="134" t="s">
        <v>253</v>
      </c>
      <c r="C53" s="75"/>
      <c r="D53" s="76"/>
      <c r="E53" s="201"/>
      <c r="F53" s="198">
        <f>D53*E53</f>
        <v>0</v>
      </c>
    </row>
    <row r="54" spans="1:8" ht="14.1" customHeight="1">
      <c r="A54" s="196" t="s">
        <v>365</v>
      </c>
      <c r="B54" s="131" t="s">
        <v>149</v>
      </c>
      <c r="C54" s="75" t="s">
        <v>143</v>
      </c>
      <c r="D54" s="76">
        <f>D163</f>
        <v>4.5</v>
      </c>
      <c r="E54" s="201">
        <f>2*1.75*F171/176</f>
        <v>13.482954545454545</v>
      </c>
      <c r="F54" s="198">
        <f>D54*E54</f>
        <v>60.673295454545453</v>
      </c>
    </row>
    <row r="55" spans="1:8" ht="14.1" customHeight="1">
      <c r="A55" s="216"/>
      <c r="B55" s="169" t="s">
        <v>253</v>
      </c>
      <c r="C55" s="217"/>
      <c r="D55" s="76"/>
      <c r="E55" s="201"/>
      <c r="F55" s="198">
        <f>D55*E55</f>
        <v>0</v>
      </c>
    </row>
    <row r="56" spans="1:8" ht="14.1" customHeight="1">
      <c r="A56" s="196" t="s">
        <v>364</v>
      </c>
      <c r="B56" s="134" t="s">
        <v>253</v>
      </c>
      <c r="C56" s="207" t="s">
        <v>143</v>
      </c>
      <c r="D56" s="218">
        <v>0</v>
      </c>
      <c r="E56" s="190">
        <f>2*1.75*F171/176</f>
        <v>13.482954545454545</v>
      </c>
      <c r="F56" s="198">
        <f>D56*E56</f>
        <v>0</v>
      </c>
      <c r="H56" s="32" t="s">
        <v>282</v>
      </c>
    </row>
    <row r="57" spans="1:8" ht="14.1" customHeight="1">
      <c r="A57" s="219"/>
      <c r="B57" s="133"/>
      <c r="C57" s="207"/>
      <c r="D57" s="208"/>
      <c r="E57" s="209"/>
      <c r="F57" s="198">
        <f>D57*E57</f>
        <v>0</v>
      </c>
    </row>
    <row r="58" spans="1:8" s="195" customFormat="1" ht="14.1" customHeight="1">
      <c r="A58" s="192" t="s">
        <v>366</v>
      </c>
      <c r="B58" s="76" t="s">
        <v>7</v>
      </c>
      <c r="C58" s="76"/>
      <c r="D58" s="76" t="s">
        <v>8</v>
      </c>
      <c r="E58" s="76"/>
      <c r="F58" s="194">
        <f>SUM(F59:F67)</f>
        <v>504.64</v>
      </c>
    </row>
    <row r="59" spans="1:8" ht="14.1" customHeight="1">
      <c r="A59" s="196" t="s">
        <v>34</v>
      </c>
      <c r="B59" s="76"/>
      <c r="C59" s="75" t="s">
        <v>139</v>
      </c>
      <c r="D59" s="208">
        <v>2</v>
      </c>
      <c r="E59" s="220">
        <f>F173</f>
        <v>32</v>
      </c>
      <c r="F59" s="198">
        <f>(E59*D59)</f>
        <v>64</v>
      </c>
      <c r="H59" s="221"/>
    </row>
    <row r="60" spans="1:8" ht="14.1" customHeight="1">
      <c r="A60" s="192" t="s">
        <v>183</v>
      </c>
      <c r="B60" s="169" t="s">
        <v>354</v>
      </c>
      <c r="C60" s="331" t="s">
        <v>91</v>
      </c>
      <c r="D60" s="332">
        <v>10</v>
      </c>
      <c r="E60" s="222">
        <f>F172*F173</f>
        <v>4406.3999999999996</v>
      </c>
      <c r="F60" s="223">
        <f>(E60*D60)/100</f>
        <v>440.64</v>
      </c>
      <c r="H60" s="221"/>
    </row>
    <row r="61" spans="1:8" ht="14.1" customHeight="1">
      <c r="A61" s="196" t="s">
        <v>131</v>
      </c>
      <c r="B61" s="76" t="s">
        <v>96</v>
      </c>
      <c r="C61" s="76" t="s">
        <v>143</v>
      </c>
      <c r="D61" s="244">
        <v>2</v>
      </c>
      <c r="E61" s="85">
        <v>0</v>
      </c>
      <c r="F61" s="223">
        <f>D61*E61</f>
        <v>0</v>
      </c>
      <c r="H61" s="221"/>
    </row>
    <row r="62" spans="1:8" ht="14.1" customHeight="1">
      <c r="A62" s="196" t="s">
        <v>130</v>
      </c>
      <c r="B62" s="76" t="s">
        <v>97</v>
      </c>
      <c r="C62" s="76" t="s">
        <v>143</v>
      </c>
      <c r="D62" s="244">
        <v>4</v>
      </c>
      <c r="E62" s="85">
        <v>0</v>
      </c>
      <c r="F62" s="223">
        <f>D62*E62</f>
        <v>0</v>
      </c>
      <c r="H62" s="221"/>
    </row>
    <row r="63" spans="1:8" ht="14.1" customHeight="1">
      <c r="A63" s="196" t="s">
        <v>355</v>
      </c>
      <c r="B63" s="76" t="s">
        <v>98</v>
      </c>
      <c r="C63" s="76" t="s">
        <v>143</v>
      </c>
      <c r="D63" s="244">
        <v>1</v>
      </c>
      <c r="E63" s="85">
        <v>0</v>
      </c>
      <c r="F63" s="223">
        <f>D63*E63</f>
        <v>0</v>
      </c>
      <c r="H63" s="221"/>
    </row>
    <row r="64" spans="1:8" ht="14.1" customHeight="1">
      <c r="A64" s="196" t="s">
        <v>132</v>
      </c>
      <c r="B64" s="76" t="s">
        <v>99</v>
      </c>
      <c r="C64" s="76" t="s">
        <v>143</v>
      </c>
      <c r="D64" s="244">
        <v>0.5</v>
      </c>
      <c r="E64" s="85">
        <v>0</v>
      </c>
      <c r="F64" s="223">
        <f>D64*E64</f>
        <v>0</v>
      </c>
      <c r="H64" s="221"/>
    </row>
    <row r="65" spans="1:7" ht="14.1" customHeight="1">
      <c r="A65" s="126"/>
      <c r="B65" s="84"/>
      <c r="C65" s="84"/>
      <c r="D65" s="224"/>
      <c r="E65" s="85"/>
      <c r="F65" s="198">
        <f>(E65*D65)</f>
        <v>0</v>
      </c>
    </row>
    <row r="66" spans="1:7" ht="14.1" customHeight="1">
      <c r="A66" s="126"/>
      <c r="B66" s="84"/>
      <c r="C66" s="84"/>
      <c r="D66" s="318"/>
      <c r="E66" s="85"/>
      <c r="F66" s="198">
        <f>(E66*D66)</f>
        <v>0</v>
      </c>
    </row>
    <row r="67" spans="1:7" ht="14.1" customHeight="1">
      <c r="A67" s="126"/>
      <c r="B67" s="84"/>
      <c r="C67" s="84"/>
      <c r="D67" s="86"/>
      <c r="E67" s="85"/>
      <c r="F67" s="198">
        <f>(E67*D67)</f>
        <v>0</v>
      </c>
    </row>
    <row r="68" spans="1:7" ht="14.1" customHeight="1">
      <c r="A68" s="225" t="s">
        <v>9</v>
      </c>
      <c r="B68" s="87" t="s">
        <v>189</v>
      </c>
      <c r="C68" s="220" t="s">
        <v>91</v>
      </c>
      <c r="D68" s="226">
        <v>1</v>
      </c>
      <c r="E68" s="227">
        <f>F7+F42+F58</f>
        <v>2488.4962295454548</v>
      </c>
      <c r="F68" s="228">
        <f>E68*D68/100</f>
        <v>24.884962295454546</v>
      </c>
    </row>
    <row r="69" spans="1:7" ht="14.1" customHeight="1">
      <c r="A69" s="192" t="s">
        <v>16</v>
      </c>
      <c r="B69" s="91" t="s">
        <v>150</v>
      </c>
      <c r="C69" s="220" t="s">
        <v>91</v>
      </c>
      <c r="D69" s="229">
        <v>2</v>
      </c>
      <c r="E69" s="197">
        <f>F7+F42+F58+F68</f>
        <v>2513.3811918409092</v>
      </c>
      <c r="F69" s="194">
        <f>E69*D69/100</f>
        <v>50.267623836818181</v>
      </c>
    </row>
    <row r="70" spans="1:7" s="35" customFormat="1" ht="14.1" customHeight="1">
      <c r="A70" s="139"/>
      <c r="B70" s="53" t="s">
        <v>153</v>
      </c>
      <c r="C70" s="220"/>
      <c r="D70" s="230"/>
      <c r="E70" s="201"/>
      <c r="F70" s="198"/>
    </row>
    <row r="71" spans="1:7" ht="14.1" customHeight="1">
      <c r="A71" s="192" t="s">
        <v>35</v>
      </c>
      <c r="B71" s="94" t="s">
        <v>151</v>
      </c>
      <c r="C71" s="220" t="s">
        <v>91</v>
      </c>
      <c r="D71" s="229">
        <v>1.7</v>
      </c>
      <c r="E71" s="197">
        <f>F7+F42+F58+F68</f>
        <v>2513.3811918409092</v>
      </c>
      <c r="F71" s="194">
        <f>E71*D71/100</f>
        <v>42.727480261295462</v>
      </c>
    </row>
    <row r="72" spans="1:7" s="35" customFormat="1" ht="14.1" customHeight="1">
      <c r="A72" s="196"/>
      <c r="B72" s="94" t="s">
        <v>152</v>
      </c>
      <c r="C72" s="220"/>
      <c r="D72" s="230"/>
      <c r="E72" s="201"/>
      <c r="F72" s="198"/>
    </row>
    <row r="73" spans="1:7" ht="14.1" customHeight="1">
      <c r="A73" s="192" t="s">
        <v>119</v>
      </c>
      <c r="B73" s="66"/>
      <c r="C73" s="66"/>
      <c r="D73" s="197"/>
      <c r="E73" s="197"/>
      <c r="F73" s="194">
        <f>SUM(F74:F76)</f>
        <v>50.636253078288192</v>
      </c>
    </row>
    <row r="74" spans="1:7" ht="14.1" customHeight="1">
      <c r="A74" s="196" t="s">
        <v>37</v>
      </c>
      <c r="B74" s="51" t="s">
        <v>154</v>
      </c>
      <c r="C74" s="66" t="s">
        <v>91</v>
      </c>
      <c r="D74" s="231">
        <v>2</v>
      </c>
      <c r="E74" s="231">
        <v>80</v>
      </c>
      <c r="F74" s="198">
        <f>(+F7+F42+F58+F68)*(D74/100)*(E74/100)*(8/12)</f>
        <v>26.809399379636368</v>
      </c>
    </row>
    <row r="75" spans="1:7" ht="14.1" customHeight="1">
      <c r="A75" s="196"/>
      <c r="B75" s="51" t="s">
        <v>155</v>
      </c>
      <c r="C75" s="66"/>
      <c r="D75" s="197"/>
      <c r="E75" s="197"/>
      <c r="F75" s="194"/>
    </row>
    <row r="76" spans="1:7" ht="14.1" customHeight="1">
      <c r="A76" s="196" t="s">
        <v>36</v>
      </c>
      <c r="B76" s="52" t="s">
        <v>156</v>
      </c>
      <c r="C76" s="66" t="s">
        <v>91</v>
      </c>
      <c r="D76" s="231">
        <v>6</v>
      </c>
      <c r="E76" s="231">
        <v>20</v>
      </c>
      <c r="F76" s="198">
        <f>((E76/100)*(F7+F42+F58+F68)+F69+F71)*(D76/100)*(8/12)</f>
        <v>23.826853698651821</v>
      </c>
      <c r="G76" s="32"/>
    </row>
    <row r="77" spans="1:7" s="29" customFormat="1" ht="14.1" customHeight="1">
      <c r="A77" s="196"/>
      <c r="B77" s="52" t="s">
        <v>157</v>
      </c>
      <c r="C77" s="189"/>
      <c r="D77" s="197"/>
      <c r="E77" s="197"/>
      <c r="F77" s="194"/>
      <c r="G77" s="31"/>
    </row>
    <row r="78" spans="1:7" ht="14.1" customHeight="1">
      <c r="A78" s="188" t="s">
        <v>120</v>
      </c>
      <c r="B78" s="135"/>
      <c r="C78" s="66" t="s">
        <v>7</v>
      </c>
      <c r="D78" s="232"/>
      <c r="E78" s="220"/>
      <c r="F78" s="194">
        <f>SUM(F79:F80)</f>
        <v>277.60319999999996</v>
      </c>
    </row>
    <row r="79" spans="1:7" s="29" customFormat="1" ht="14.1" customHeight="1">
      <c r="A79" s="139" t="s">
        <v>367</v>
      </c>
      <c r="B79" s="51" t="s">
        <v>158</v>
      </c>
      <c r="C79" s="66" t="s">
        <v>91</v>
      </c>
      <c r="D79" s="103">
        <v>4</v>
      </c>
      <c r="E79" s="220">
        <f>F176</f>
        <v>4406.3999999999996</v>
      </c>
      <c r="F79" s="198">
        <f>(D79*E79/100)</f>
        <v>176.25599999999997</v>
      </c>
    </row>
    <row r="80" spans="1:7" ht="14.1" customHeight="1">
      <c r="A80" s="196" t="s">
        <v>38</v>
      </c>
      <c r="B80" s="52" t="s">
        <v>146</v>
      </c>
      <c r="C80" s="66" t="s">
        <v>91</v>
      </c>
      <c r="D80" s="103">
        <v>2.2999999999999998</v>
      </c>
      <c r="E80" s="220">
        <f>F172*F173</f>
        <v>4406.3999999999996</v>
      </c>
      <c r="F80" s="198">
        <f>(E80*D80/100)</f>
        <v>101.34719999999997</v>
      </c>
    </row>
    <row r="81" spans="1:8" ht="14.1" customHeight="1">
      <c r="A81" s="188" t="s">
        <v>368</v>
      </c>
      <c r="B81" s="136"/>
      <c r="C81" s="233"/>
      <c r="D81" s="220"/>
      <c r="E81" s="220"/>
      <c r="F81" s="191">
        <f>SUM(F82:F86)</f>
        <v>75.902190000000004</v>
      </c>
    </row>
    <row r="82" spans="1:8" ht="14.1" customHeight="1">
      <c r="A82" s="196" t="s">
        <v>369</v>
      </c>
      <c r="B82" s="51" t="s">
        <v>172</v>
      </c>
      <c r="C82" s="66" t="s">
        <v>143</v>
      </c>
      <c r="D82" s="76">
        <f>D154</f>
        <v>7.5</v>
      </c>
      <c r="E82" s="201">
        <f>0.07*F132/F135</f>
        <v>7.1464400000000001</v>
      </c>
      <c r="F82" s="198">
        <f>(E82*D82)</f>
        <v>53.598300000000002</v>
      </c>
    </row>
    <row r="83" spans="1:8" ht="14.1" customHeight="1">
      <c r="A83" s="196" t="s">
        <v>370</v>
      </c>
      <c r="B83" s="52" t="s">
        <v>172</v>
      </c>
      <c r="C83" s="66" t="s">
        <v>143</v>
      </c>
      <c r="D83" s="76">
        <f>D163</f>
        <v>4.5</v>
      </c>
      <c r="E83" s="201">
        <f>0.07*F136/F139</f>
        <v>4.9564200000000005</v>
      </c>
      <c r="F83" s="198">
        <f>D83*E83</f>
        <v>22.303890000000003</v>
      </c>
    </row>
    <row r="84" spans="1:8" ht="14.1" customHeight="1">
      <c r="A84" s="333" t="s">
        <v>263</v>
      </c>
      <c r="B84" s="51" t="s">
        <v>264</v>
      </c>
      <c r="C84" s="75" t="s">
        <v>91</v>
      </c>
      <c r="D84" s="272">
        <v>0</v>
      </c>
      <c r="E84" s="220">
        <f>F172*F173</f>
        <v>4406.3999999999996</v>
      </c>
      <c r="F84" s="198">
        <f>D84*E84/100</f>
        <v>0</v>
      </c>
    </row>
    <row r="85" spans="1:8" ht="14.1" customHeight="1">
      <c r="A85" s="196" t="s">
        <v>371</v>
      </c>
      <c r="B85" s="52" t="s">
        <v>172</v>
      </c>
      <c r="C85" s="75" t="s">
        <v>143</v>
      </c>
      <c r="D85" s="220"/>
      <c r="E85" s="201">
        <f>0.07*F140/F143</f>
        <v>66.500000000000014</v>
      </c>
      <c r="F85" s="198">
        <f>D85*E85</f>
        <v>0</v>
      </c>
      <c r="H85" s="30" t="s">
        <v>282</v>
      </c>
    </row>
    <row r="86" spans="1:8" ht="14.1" customHeight="1">
      <c r="A86" s="128"/>
      <c r="B86" s="130"/>
      <c r="C86" s="75"/>
      <c r="D86" s="102"/>
      <c r="E86" s="103"/>
      <c r="F86" s="198">
        <f>D86*E86</f>
        <v>0</v>
      </c>
    </row>
    <row r="87" spans="1:8" ht="14.1" customHeight="1">
      <c r="A87" s="334" t="s">
        <v>39</v>
      </c>
      <c r="B87" s="135"/>
      <c r="C87" s="189"/>
      <c r="D87" s="232"/>
      <c r="E87" s="232"/>
      <c r="F87" s="191">
        <f>ROUND(SUM(F88:F103),2)</f>
        <v>1941.01</v>
      </c>
    </row>
    <row r="88" spans="1:8" s="195" customFormat="1" ht="14.1" customHeight="1">
      <c r="A88" s="192" t="s">
        <v>372</v>
      </c>
      <c r="B88" s="51" t="s">
        <v>41</v>
      </c>
      <c r="C88" s="220"/>
      <c r="D88" s="197"/>
      <c r="E88" s="193"/>
      <c r="F88" s="194">
        <f>(F168*0.01)/20</f>
        <v>2.5</v>
      </c>
    </row>
    <row r="89" spans="1:8" s="29" customFormat="1" ht="14.1" customHeight="1">
      <c r="A89" s="196"/>
      <c r="B89" s="137" t="s">
        <v>161</v>
      </c>
      <c r="C89" s="233"/>
      <c r="D89" s="220"/>
      <c r="E89" s="220"/>
      <c r="F89" s="191"/>
    </row>
    <row r="90" spans="1:8" ht="14.1" customHeight="1">
      <c r="A90" s="192" t="s">
        <v>373</v>
      </c>
      <c r="B90" s="51" t="s">
        <v>41</v>
      </c>
      <c r="C90" s="233"/>
      <c r="D90" s="197"/>
      <c r="E90" s="197"/>
      <c r="F90" s="194">
        <f>(F168-F169)/25/20</f>
        <v>9</v>
      </c>
    </row>
    <row r="91" spans="1:8" s="29" customFormat="1" ht="14.1" customHeight="1">
      <c r="A91" s="192"/>
      <c r="B91" s="51" t="s">
        <v>179</v>
      </c>
      <c r="C91" s="233"/>
      <c r="D91" s="197"/>
      <c r="E91" s="197"/>
      <c r="F91" s="194"/>
    </row>
    <row r="92" spans="1:8" s="29" customFormat="1" ht="14.1" customHeight="1">
      <c r="A92" s="196"/>
      <c r="B92" s="50" t="s">
        <v>159</v>
      </c>
      <c r="C92" s="233"/>
      <c r="D92" s="232"/>
      <c r="E92" s="232"/>
      <c r="F92" s="191"/>
    </row>
    <row r="93" spans="1:8" ht="14.1" customHeight="1">
      <c r="A93" s="192" t="s">
        <v>10</v>
      </c>
      <c r="B93" s="137" t="s">
        <v>160</v>
      </c>
      <c r="C93" s="220" t="s">
        <v>91</v>
      </c>
      <c r="D93" s="229">
        <v>0.5</v>
      </c>
      <c r="E93" s="197">
        <f>F170</f>
        <v>38900</v>
      </c>
      <c r="F93" s="194">
        <f>(E93*D93/100)</f>
        <v>194.5</v>
      </c>
    </row>
    <row r="94" spans="1:8" s="29" customFormat="1" ht="14.1" customHeight="1">
      <c r="A94" s="196"/>
      <c r="B94" s="137" t="s">
        <v>384</v>
      </c>
      <c r="C94" s="233"/>
      <c r="D94" s="220"/>
      <c r="E94" s="220"/>
      <c r="F94" s="191"/>
    </row>
    <row r="95" spans="1:8" ht="14.1" customHeight="1">
      <c r="A95" s="192" t="s">
        <v>374</v>
      </c>
      <c r="B95" s="140"/>
      <c r="C95" s="234"/>
      <c r="D95" s="197"/>
      <c r="E95" s="235"/>
      <c r="F95" s="194"/>
    </row>
    <row r="96" spans="1:8" ht="14.1" customHeight="1">
      <c r="A96" s="196" t="s">
        <v>90</v>
      </c>
      <c r="B96" s="51" t="s">
        <v>41</v>
      </c>
      <c r="C96" s="220"/>
      <c r="D96" s="197"/>
      <c r="E96" s="197"/>
      <c r="F96" s="194">
        <f>(F168+F169)/2/20*0.06</f>
        <v>8.25</v>
      </c>
    </row>
    <row r="97" spans="1:7" s="29" customFormat="1" ht="14.1" customHeight="1">
      <c r="A97" s="192"/>
      <c r="B97" s="142" t="s">
        <v>180</v>
      </c>
      <c r="C97" s="220"/>
      <c r="D97" s="197"/>
      <c r="E97" s="197"/>
      <c r="F97" s="194"/>
    </row>
    <row r="98" spans="1:7" s="29" customFormat="1" ht="14.1" customHeight="1">
      <c r="A98" s="196"/>
      <c r="B98" s="142" t="s">
        <v>162</v>
      </c>
      <c r="C98" s="220"/>
      <c r="D98" s="197"/>
      <c r="E98" s="197"/>
      <c r="F98" s="194"/>
    </row>
    <row r="99" spans="1:7" ht="14.1" customHeight="1">
      <c r="A99" s="192" t="s">
        <v>247</v>
      </c>
      <c r="B99" s="140" t="s">
        <v>11</v>
      </c>
      <c r="C99" s="234" t="s">
        <v>91</v>
      </c>
      <c r="D99" s="229">
        <v>8</v>
      </c>
      <c r="E99" s="235">
        <f>F6</f>
        <v>3010.52</v>
      </c>
      <c r="F99" s="194">
        <f>(E99*D99/100)</f>
        <v>240.8416</v>
      </c>
    </row>
    <row r="100" spans="1:7" s="29" customFormat="1" ht="14.1" customHeight="1">
      <c r="A100" s="196"/>
      <c r="B100" s="143" t="s">
        <v>174</v>
      </c>
      <c r="C100" s="220"/>
      <c r="D100" s="273"/>
      <c r="E100" s="197"/>
      <c r="F100" s="194"/>
    </row>
    <row r="101" spans="1:7" ht="14.1" customHeight="1">
      <c r="A101" s="276" t="s">
        <v>248</v>
      </c>
      <c r="B101" s="142" t="s">
        <v>160</v>
      </c>
      <c r="C101" s="220" t="s">
        <v>91</v>
      </c>
      <c r="D101" s="273">
        <v>3</v>
      </c>
      <c r="E101" s="197">
        <f>F170</f>
        <v>38900</v>
      </c>
      <c r="F101" s="194">
        <f>(E101*D101/100)</f>
        <v>1167</v>
      </c>
    </row>
    <row r="102" spans="1:7" s="29" customFormat="1" ht="14.1" customHeight="1">
      <c r="A102" s="196"/>
      <c r="B102" s="142" t="s">
        <v>385</v>
      </c>
      <c r="C102" s="220"/>
      <c r="D102" s="197"/>
      <c r="E102" s="197"/>
      <c r="F102" s="194"/>
    </row>
    <row r="103" spans="1:7" ht="14.1" customHeight="1">
      <c r="A103" s="192" t="s">
        <v>47</v>
      </c>
      <c r="B103" s="144"/>
      <c r="C103" s="233"/>
      <c r="D103" s="220"/>
      <c r="E103" s="220"/>
      <c r="F103" s="191">
        <f>SUM(F106:F130)</f>
        <v>318.92271473181813</v>
      </c>
    </row>
    <row r="104" spans="1:7" ht="14.1" customHeight="1">
      <c r="A104" s="192" t="s">
        <v>249</v>
      </c>
      <c r="B104" s="143" t="s">
        <v>171</v>
      </c>
      <c r="C104" s="274" t="s">
        <v>143</v>
      </c>
      <c r="D104" s="275">
        <f>D154</f>
        <v>7.5</v>
      </c>
      <c r="E104" s="250">
        <f>((F132-F133)/(F134*F135))+(((F132+F133)/2)*0.01/F135)+((F132+F133)/2*0.06/F135)</f>
        <v>12.455223999999999</v>
      </c>
      <c r="F104" s="194">
        <f>D104*E104</f>
        <v>93.414180000000002</v>
      </c>
      <c r="G104" s="32"/>
    </row>
    <row r="105" spans="1:7" ht="14.1" customHeight="1">
      <c r="A105" s="196"/>
      <c r="B105" s="143" t="s">
        <v>163</v>
      </c>
      <c r="C105" s="66"/>
      <c r="D105" s="76"/>
      <c r="E105" s="220"/>
      <c r="F105" s="198"/>
      <c r="G105" s="32"/>
    </row>
    <row r="106" spans="1:7" s="29" customFormat="1" ht="14.1" customHeight="1">
      <c r="A106" s="196" t="s">
        <v>176</v>
      </c>
      <c r="B106" s="142" t="s">
        <v>164</v>
      </c>
      <c r="C106" s="66" t="s">
        <v>143</v>
      </c>
      <c r="D106" s="220">
        <f>D154</f>
        <v>7.5</v>
      </c>
      <c r="E106" s="197">
        <f>(F132-F133)/(F134*F135)</f>
        <v>8.1673600000000004</v>
      </c>
      <c r="F106" s="198">
        <f>D106*E106</f>
        <v>61.255200000000002</v>
      </c>
      <c r="G106" s="31"/>
    </row>
    <row r="107" spans="1:7" s="29" customFormat="1" ht="14.1" customHeight="1">
      <c r="A107" s="196" t="s">
        <v>375</v>
      </c>
      <c r="B107" s="143" t="s">
        <v>165</v>
      </c>
      <c r="C107" s="66" t="s">
        <v>143</v>
      </c>
      <c r="D107" s="220">
        <f>D154</f>
        <v>7.5</v>
      </c>
      <c r="E107" s="220">
        <f>(((F132+F133)/2)*0.01/F135)</f>
        <v>0.61255199999999999</v>
      </c>
      <c r="F107" s="198">
        <f>D107*E107</f>
        <v>4.5941399999999994</v>
      </c>
      <c r="G107" s="31"/>
    </row>
    <row r="108" spans="1:7" s="29" customFormat="1" ht="14.1" customHeight="1">
      <c r="A108" s="196"/>
      <c r="B108" s="142" t="s">
        <v>166</v>
      </c>
      <c r="C108" s="66" t="s">
        <v>143</v>
      </c>
      <c r="D108" s="220">
        <f>D154</f>
        <v>7.5</v>
      </c>
      <c r="E108" s="220">
        <f>(((F132+F133)/2)*0.06/F135)</f>
        <v>3.6753119999999999</v>
      </c>
      <c r="F108" s="198">
        <f>D108*E108</f>
        <v>27.56484</v>
      </c>
      <c r="G108" s="31"/>
    </row>
    <row r="109" spans="1:7" ht="14.1" customHeight="1">
      <c r="A109" s="196" t="s">
        <v>192</v>
      </c>
      <c r="B109" s="140" t="s">
        <v>147</v>
      </c>
      <c r="C109" s="66"/>
      <c r="D109" s="76"/>
      <c r="E109" s="197"/>
      <c r="F109" s="198"/>
      <c r="G109" s="32"/>
    </row>
    <row r="110" spans="1:7" ht="14.1" customHeight="1">
      <c r="A110" s="196" t="s">
        <v>178</v>
      </c>
      <c r="B110" s="142" t="s">
        <v>242</v>
      </c>
      <c r="C110" s="233" t="s">
        <v>143</v>
      </c>
      <c r="D110" s="220">
        <f>D146</f>
        <v>2</v>
      </c>
      <c r="E110" s="220">
        <f>(0.23)*(F31+F33+F52+F82+F106+F107+F108)/D154</f>
        <v>13.203637265454544</v>
      </c>
      <c r="F110" s="198">
        <f>E110*D110</f>
        <v>26.407274530909088</v>
      </c>
      <c r="G110" s="32"/>
    </row>
    <row r="111" spans="1:7" s="41" customFormat="1" ht="14.1" customHeight="1">
      <c r="A111" s="196"/>
      <c r="B111" s="145" t="s">
        <v>243</v>
      </c>
      <c r="C111" s="233" t="s">
        <v>143</v>
      </c>
      <c r="D111" s="220">
        <f>D147</f>
        <v>4</v>
      </c>
      <c r="E111" s="220">
        <f>(0.33)*(F31+F33+F52+F82+F104)/D154</f>
        <v>18.944349120000002</v>
      </c>
      <c r="F111" s="198">
        <f>E111*D111</f>
        <v>75.777396480000007</v>
      </c>
      <c r="G111" s="40"/>
    </row>
    <row r="112" spans="1:7" s="41" customFormat="1" ht="14.1" customHeight="1">
      <c r="A112" s="196"/>
      <c r="B112" s="146" t="s">
        <v>244</v>
      </c>
      <c r="C112" s="233" t="s">
        <v>143</v>
      </c>
      <c r="D112" s="220">
        <f>D148</f>
        <v>1</v>
      </c>
      <c r="E112" s="220">
        <f>(0.16)*(F31+F33+F52+F82+F106+F107+F108)/D154</f>
        <v>9.1851389672727262</v>
      </c>
      <c r="F112" s="198">
        <f>E112*D112</f>
        <v>9.1851389672727262</v>
      </c>
      <c r="G112" s="40"/>
    </row>
    <row r="113" spans="1:8" s="41" customFormat="1" ht="14.1" customHeight="1">
      <c r="A113" s="196"/>
      <c r="B113" s="145" t="s">
        <v>245</v>
      </c>
      <c r="C113" s="233" t="s">
        <v>143</v>
      </c>
      <c r="D113" s="76">
        <f>D149</f>
        <v>0.5</v>
      </c>
      <c r="E113" s="220">
        <f>(0.1)*(F31+F33+F52+F82+F106+F107+F108)/D154</f>
        <v>5.7407118545454541</v>
      </c>
      <c r="F113" s="236">
        <f>E113*D113</f>
        <v>2.870355927272727</v>
      </c>
      <c r="G113" s="40"/>
    </row>
    <row r="114" spans="1:8" ht="14.1" customHeight="1">
      <c r="A114" s="128"/>
      <c r="B114" s="130"/>
      <c r="C114" s="75"/>
      <c r="D114" s="102"/>
      <c r="E114" s="103"/>
      <c r="F114" s="198">
        <f>D114*E114</f>
        <v>0</v>
      </c>
      <c r="G114" s="32"/>
    </row>
    <row r="115" spans="1:8" ht="14.1" customHeight="1">
      <c r="A115" s="128"/>
      <c r="B115" s="130"/>
      <c r="C115" s="75"/>
      <c r="D115" s="102"/>
      <c r="E115" s="103"/>
      <c r="F115" s="198">
        <f>D115*E115</f>
        <v>0</v>
      </c>
      <c r="G115" s="32"/>
    </row>
    <row r="116" spans="1:8" ht="14.1" customHeight="1">
      <c r="A116" s="192" t="s">
        <v>376</v>
      </c>
      <c r="B116" s="142" t="s">
        <v>171</v>
      </c>
      <c r="C116" s="274" t="s">
        <v>143</v>
      </c>
      <c r="D116" s="275"/>
      <c r="E116" s="250">
        <f>((F136-F137)/(F138*F139))+(((F136+F137)/2)*0.01/F139)+((F136+F137)/2*0.06/F139)</f>
        <v>8.6383320000000001</v>
      </c>
      <c r="F116" s="194">
        <f>D116*E116</f>
        <v>0</v>
      </c>
      <c r="G116" s="32"/>
    </row>
    <row r="117" spans="1:8" ht="14.1" customHeight="1">
      <c r="A117" s="192"/>
      <c r="B117" s="140" t="s">
        <v>163</v>
      </c>
      <c r="C117" s="66"/>
      <c r="D117" s="76"/>
      <c r="E117" s="220"/>
      <c r="F117" s="198"/>
      <c r="G117" s="32"/>
    </row>
    <row r="118" spans="1:8" ht="14.1" customHeight="1">
      <c r="A118" s="196" t="s">
        <v>176</v>
      </c>
      <c r="B118" s="143" t="s">
        <v>164</v>
      </c>
      <c r="C118" s="66" t="s">
        <v>143</v>
      </c>
      <c r="D118" s="220">
        <f>D163</f>
        <v>4.5</v>
      </c>
      <c r="E118" s="197">
        <f>(F136-F137)/(F138*F139)</f>
        <v>5.6644800000000002</v>
      </c>
      <c r="F118" s="198">
        <f>D118*E118</f>
        <v>25.490159999999999</v>
      </c>
      <c r="G118" s="32"/>
    </row>
    <row r="119" spans="1:8" ht="14.1" customHeight="1">
      <c r="A119" s="196" t="s">
        <v>375</v>
      </c>
      <c r="B119" s="142" t="s">
        <v>165</v>
      </c>
      <c r="C119" s="66" t="s">
        <v>143</v>
      </c>
      <c r="D119" s="220">
        <f>D163</f>
        <v>4.5</v>
      </c>
      <c r="E119" s="220">
        <f>(((F136+F137)/2*0.01/F139))</f>
        <v>0.42483599999999999</v>
      </c>
      <c r="F119" s="198">
        <f>D119*E119</f>
        <v>1.911762</v>
      </c>
      <c r="G119" s="32"/>
    </row>
    <row r="120" spans="1:8" ht="14.1" customHeight="1">
      <c r="A120" s="196"/>
      <c r="B120" s="143" t="s">
        <v>166</v>
      </c>
      <c r="C120" s="66" t="s">
        <v>143</v>
      </c>
      <c r="D120" s="220">
        <f>D163</f>
        <v>4.5</v>
      </c>
      <c r="E120" s="220">
        <f>(((F136+F137)/2)*0.06/F139)</f>
        <v>2.5490159999999995</v>
      </c>
      <c r="F120" s="198">
        <f>D120*E120</f>
        <v>11.470571999999997</v>
      </c>
      <c r="G120" s="32"/>
    </row>
    <row r="121" spans="1:8" ht="14.1" customHeight="1">
      <c r="A121" s="196" t="s">
        <v>241</v>
      </c>
      <c r="B121" s="140" t="s">
        <v>147</v>
      </c>
      <c r="C121" s="66"/>
      <c r="D121" s="76"/>
      <c r="E121" s="197"/>
      <c r="F121" s="198"/>
      <c r="G121" s="32"/>
    </row>
    <row r="122" spans="1:8" ht="14.1" customHeight="1">
      <c r="A122" s="196"/>
      <c r="B122" s="146" t="s">
        <v>246</v>
      </c>
      <c r="C122" s="233" t="s">
        <v>143</v>
      </c>
      <c r="D122" s="220">
        <f>D159</f>
        <v>1.5</v>
      </c>
      <c r="E122" s="220">
        <f>(0.39)*(F34+F36+F54+F83+F118+F119+F120)/D163</f>
        <v>15.303193052727273</v>
      </c>
      <c r="F122" s="198">
        <f>D122*E122</f>
        <v>22.95478957909091</v>
      </c>
      <c r="G122" s="32"/>
    </row>
    <row r="123" spans="1:8" ht="14.1" customHeight="1">
      <c r="A123" s="196"/>
      <c r="B123" s="145" t="s">
        <v>255</v>
      </c>
      <c r="C123" s="233" t="s">
        <v>143</v>
      </c>
      <c r="D123" s="220">
        <f>D157</f>
        <v>1.5</v>
      </c>
      <c r="E123" s="220">
        <f>(0.42)*(F34+F36+F54+F83+F118+F119+F120)/D163</f>
        <v>16.480361749090907</v>
      </c>
      <c r="F123" s="198">
        <f>D123*E123</f>
        <v>24.720542623636362</v>
      </c>
      <c r="G123" s="32"/>
    </row>
    <row r="124" spans="1:8" ht="14.1" customHeight="1">
      <c r="A124" s="196"/>
      <c r="B124" s="146" t="s">
        <v>256</v>
      </c>
      <c r="C124" s="233" t="s">
        <v>143</v>
      </c>
      <c r="D124" s="220">
        <f>D158</f>
        <v>1.5</v>
      </c>
      <c r="E124" s="220">
        <f>(0.42)*(F34+F36+F54+F83+F118+F119+F120)/D163</f>
        <v>16.480361749090907</v>
      </c>
      <c r="F124" s="198">
        <f>D124*E124</f>
        <v>24.720542623636362</v>
      </c>
      <c r="G124" s="32"/>
    </row>
    <row r="125" spans="1:8" ht="14.1" customHeight="1">
      <c r="A125" s="192" t="s">
        <v>261</v>
      </c>
      <c r="B125" s="145" t="s">
        <v>171</v>
      </c>
      <c r="C125" s="249" t="s">
        <v>143</v>
      </c>
      <c r="D125" s="250">
        <v>0</v>
      </c>
      <c r="E125" s="250">
        <f>((F140-F141)/(F142*F143))+(((F140+F141)/2)*0.01/F143)+((F140+F141)/2*0.06/F143)</f>
        <v>122.07499999999999</v>
      </c>
      <c r="F125" s="194">
        <f>D125*E125</f>
        <v>0</v>
      </c>
      <c r="G125" s="32"/>
      <c r="H125" s="30" t="s">
        <v>282</v>
      </c>
    </row>
    <row r="126" spans="1:8" ht="14.1" customHeight="1">
      <c r="A126" s="196"/>
      <c r="B126" s="140" t="s">
        <v>163</v>
      </c>
      <c r="C126" s="233"/>
      <c r="D126" s="220"/>
      <c r="E126" s="220"/>
      <c r="F126" s="198"/>
      <c r="G126" s="32"/>
    </row>
    <row r="127" spans="1:8" ht="14.1" customHeight="1">
      <c r="A127" s="196"/>
      <c r="B127" s="142" t="s">
        <v>164</v>
      </c>
      <c r="C127" s="233" t="s">
        <v>143</v>
      </c>
      <c r="D127" s="220"/>
      <c r="E127" s="220">
        <f>(F140-F141)/(F142*F143)</f>
        <v>85.5</v>
      </c>
      <c r="F127" s="198">
        <f>D127*E127</f>
        <v>0</v>
      </c>
      <c r="G127" s="32"/>
    </row>
    <row r="128" spans="1:8" ht="14.1" customHeight="1">
      <c r="A128" s="196"/>
      <c r="B128" s="143" t="s">
        <v>165</v>
      </c>
      <c r="C128" s="233" t="s">
        <v>143</v>
      </c>
      <c r="D128" s="220"/>
      <c r="E128" s="220">
        <f>(((F140+F141)/2)*0.01/F143)</f>
        <v>5.2249999999999996</v>
      </c>
      <c r="F128" s="198">
        <f>D128*E128</f>
        <v>0</v>
      </c>
      <c r="G128" s="32"/>
    </row>
    <row r="129" spans="1:7">
      <c r="A129" s="241"/>
      <c r="B129" s="142" t="s">
        <v>166</v>
      </c>
      <c r="C129" s="242" t="s">
        <v>143</v>
      </c>
      <c r="D129" s="220"/>
      <c r="E129" s="220">
        <f>(((F140+F141)/2)*0.06/F143)</f>
        <v>31.35</v>
      </c>
      <c r="F129" s="198">
        <f>D129*E129</f>
        <v>0</v>
      </c>
    </row>
    <row r="130" spans="1:7" ht="14.1" customHeight="1" thickBot="1">
      <c r="A130" s="170"/>
      <c r="B130" s="171"/>
      <c r="C130" s="172"/>
      <c r="D130" s="173"/>
      <c r="E130" s="174"/>
      <c r="F130" s="237">
        <f>D130*E130</f>
        <v>0</v>
      </c>
      <c r="G130" s="32"/>
    </row>
    <row r="131" spans="1:7" ht="14.1" customHeight="1" thickTop="1">
      <c r="A131" s="335" t="s">
        <v>126</v>
      </c>
      <c r="B131" s="147"/>
      <c r="C131" s="238"/>
      <c r="D131" s="239"/>
      <c r="E131" s="239"/>
      <c r="F131" s="240"/>
    </row>
    <row r="132" spans="1:7">
      <c r="A132" s="241" t="s">
        <v>377</v>
      </c>
      <c r="B132" s="148" t="s">
        <v>299</v>
      </c>
      <c r="C132" s="242"/>
      <c r="D132" s="220"/>
      <c r="E132" s="220"/>
      <c r="F132" s="243">
        <v>102092</v>
      </c>
    </row>
    <row r="133" spans="1:7" ht="14.25" customHeight="1">
      <c r="A133" s="241" t="s">
        <v>378</v>
      </c>
      <c r="B133" s="149" t="s">
        <v>105</v>
      </c>
      <c r="C133" s="242" t="s">
        <v>91</v>
      </c>
      <c r="D133" s="244">
        <v>20</v>
      </c>
      <c r="E133" s="220">
        <f>F132</f>
        <v>102092</v>
      </c>
      <c r="F133" s="198">
        <f>D133*E133/100</f>
        <v>20418.400000000001</v>
      </c>
    </row>
    <row r="134" spans="1:7" ht="14.25" customHeight="1">
      <c r="A134" s="241" t="s">
        <v>92</v>
      </c>
      <c r="B134" s="139"/>
      <c r="C134" s="245" t="s">
        <v>142</v>
      </c>
      <c r="D134" s="220"/>
      <c r="E134" s="220"/>
      <c r="F134" s="246">
        <v>10</v>
      </c>
    </row>
    <row r="135" spans="1:7" ht="14.25" customHeight="1">
      <c r="A135" s="241" t="s">
        <v>191</v>
      </c>
      <c r="B135" s="150"/>
      <c r="C135" s="242" t="s">
        <v>141</v>
      </c>
      <c r="D135" s="220"/>
      <c r="E135" s="220"/>
      <c r="F135" s="246">
        <v>1000</v>
      </c>
    </row>
    <row r="136" spans="1:7" ht="14.25" customHeight="1">
      <c r="A136" s="247" t="s">
        <v>300</v>
      </c>
      <c r="B136" s="150" t="s">
        <v>299</v>
      </c>
      <c r="C136" s="242"/>
      <c r="D136" s="220"/>
      <c r="E136" s="220"/>
      <c r="F136" s="246">
        <v>70806</v>
      </c>
    </row>
    <row r="137" spans="1:7" ht="14.25" customHeight="1">
      <c r="A137" s="241" t="s">
        <v>219</v>
      </c>
      <c r="B137" s="150" t="s">
        <v>190</v>
      </c>
      <c r="C137" s="242" t="s">
        <v>91</v>
      </c>
      <c r="D137" s="244">
        <v>20</v>
      </c>
      <c r="E137" s="220">
        <f>F136</f>
        <v>70806</v>
      </c>
      <c r="F137" s="246">
        <f>D137*E137/100</f>
        <v>14161.2</v>
      </c>
    </row>
    <row r="138" spans="1:7" ht="14.25" customHeight="1">
      <c r="A138" s="241" t="s">
        <v>220</v>
      </c>
      <c r="B138" s="150"/>
      <c r="C138" s="242"/>
      <c r="D138" s="220"/>
      <c r="E138" s="220"/>
      <c r="F138" s="246">
        <v>10</v>
      </c>
    </row>
    <row r="139" spans="1:7" ht="14.25" customHeight="1">
      <c r="A139" s="241" t="s">
        <v>221</v>
      </c>
      <c r="B139" s="150"/>
      <c r="C139" s="242"/>
      <c r="D139" s="220"/>
      <c r="E139" s="220"/>
      <c r="F139" s="246">
        <v>1000</v>
      </c>
    </row>
    <row r="140" spans="1:7" ht="14.25" customHeight="1">
      <c r="A140" s="247" t="s">
        <v>261</v>
      </c>
      <c r="B140" s="150" t="s">
        <v>299</v>
      </c>
      <c r="C140" s="242"/>
      <c r="D140" s="220"/>
      <c r="E140" s="220"/>
      <c r="F140" s="246">
        <v>380000</v>
      </c>
    </row>
    <row r="141" spans="1:7" ht="14.25" customHeight="1">
      <c r="A141" s="241" t="s">
        <v>269</v>
      </c>
      <c r="B141" s="150" t="s">
        <v>106</v>
      </c>
      <c r="C141" s="242" t="s">
        <v>91</v>
      </c>
      <c r="D141" s="220">
        <v>10</v>
      </c>
      <c r="E141" s="220">
        <f>+F140</f>
        <v>380000</v>
      </c>
      <c r="F141" s="246">
        <f>D141*E141/100</f>
        <v>38000</v>
      </c>
    </row>
    <row r="142" spans="1:7" ht="14.25" customHeight="1">
      <c r="A142" s="241" t="s">
        <v>270</v>
      </c>
      <c r="B142" s="150"/>
      <c r="C142" s="242" t="s">
        <v>142</v>
      </c>
      <c r="D142" s="220"/>
      <c r="E142" s="220"/>
      <c r="F142" s="246">
        <v>10</v>
      </c>
    </row>
    <row r="143" spans="1:7" ht="14.25" customHeight="1">
      <c r="A143" s="241" t="s">
        <v>271</v>
      </c>
      <c r="B143" s="150"/>
      <c r="C143" s="242" t="s">
        <v>141</v>
      </c>
      <c r="D143" s="220"/>
      <c r="E143" s="220"/>
      <c r="F143" s="246">
        <v>400</v>
      </c>
    </row>
    <row r="144" spans="1:7" s="195" customFormat="1" ht="14.1" customHeight="1">
      <c r="A144" s="248" t="s">
        <v>380</v>
      </c>
      <c r="B144" s="151"/>
      <c r="C144" s="249"/>
      <c r="D144" s="250"/>
      <c r="E144" s="250"/>
      <c r="F144" s="194"/>
    </row>
    <row r="145" spans="1:6" s="195" customFormat="1" ht="14.1" customHeight="1">
      <c r="A145" s="248" t="s">
        <v>250</v>
      </c>
      <c r="B145" s="151" t="s">
        <v>249</v>
      </c>
      <c r="C145" s="249" t="s">
        <v>143</v>
      </c>
      <c r="D145" s="250"/>
      <c r="E145" s="250">
        <f>(F31+F33+F52+F82+F104)/D154</f>
        <v>57.407118545454537</v>
      </c>
      <c r="F145" s="194"/>
    </row>
    <row r="146" spans="1:6" ht="14.1" customHeight="1">
      <c r="A146" s="152" t="s">
        <v>131</v>
      </c>
      <c r="B146" s="152" t="s">
        <v>96</v>
      </c>
      <c r="C146" s="251" t="s">
        <v>143</v>
      </c>
      <c r="D146" s="244">
        <v>2</v>
      </c>
      <c r="E146" s="220">
        <f>(F31+F33+F52+F82+F104)/D154+(0.23)*(F31+F33+F52+F82+F104)/D154</f>
        <v>70.610755810909083</v>
      </c>
      <c r="F146" s="198">
        <f t="shared" ref="F146:F162" si="2">(E146*D146)</f>
        <v>141.22151162181817</v>
      </c>
    </row>
    <row r="147" spans="1:6" ht="14.1" customHeight="1">
      <c r="A147" s="152" t="s">
        <v>130</v>
      </c>
      <c r="B147" s="152" t="s">
        <v>97</v>
      </c>
      <c r="C147" s="251" t="s">
        <v>143</v>
      </c>
      <c r="D147" s="244">
        <v>4</v>
      </c>
      <c r="E147" s="220">
        <f>(F31+F33+F52+F82+F104)/D154+(0.33)*(F31+F33+F52+F82+F104)/D154</f>
        <v>76.351467665454535</v>
      </c>
      <c r="F147" s="198">
        <f t="shared" si="2"/>
        <v>305.40587066181814</v>
      </c>
    </row>
    <row r="148" spans="1:6" ht="14.1" customHeight="1">
      <c r="A148" s="152" t="s">
        <v>355</v>
      </c>
      <c r="B148" s="152" t="s">
        <v>98</v>
      </c>
      <c r="C148" s="251" t="s">
        <v>143</v>
      </c>
      <c r="D148" s="244">
        <v>1</v>
      </c>
      <c r="E148" s="220">
        <f>(F31+F33+F52+F82+F104)/D154+(0.166)*(F31+F33+F52+F82+F104)/D154</f>
        <v>66.936700223999992</v>
      </c>
      <c r="F148" s="198">
        <f t="shared" si="2"/>
        <v>66.936700223999992</v>
      </c>
    </row>
    <row r="149" spans="1:6" ht="14.1" customHeight="1">
      <c r="A149" s="152" t="s">
        <v>132</v>
      </c>
      <c r="B149" s="152" t="s">
        <v>99</v>
      </c>
      <c r="C149" s="251" t="s">
        <v>143</v>
      </c>
      <c r="D149" s="244">
        <v>0.5</v>
      </c>
      <c r="E149" s="220">
        <f>(F31+F33+F52+F82+F104)/D154+(0.1)*(F31+F33+F52+F82+F104)/D154</f>
        <v>63.147830399999989</v>
      </c>
      <c r="F149" s="198">
        <f t="shared" si="2"/>
        <v>31.573915199999995</v>
      </c>
    </row>
    <row r="150" spans="1:6" ht="14.1" customHeight="1">
      <c r="A150" s="152"/>
      <c r="B150" s="153" t="s">
        <v>100</v>
      </c>
      <c r="C150" s="251" t="s">
        <v>143</v>
      </c>
      <c r="D150" s="244"/>
      <c r="E150" s="244"/>
      <c r="F150" s="198">
        <f t="shared" si="2"/>
        <v>0</v>
      </c>
    </row>
    <row r="151" spans="1:6" ht="14.1" customHeight="1">
      <c r="A151" s="152"/>
      <c r="B151" s="153" t="s">
        <v>254</v>
      </c>
      <c r="C151" s="251" t="s">
        <v>143</v>
      </c>
      <c r="D151" s="244"/>
      <c r="E151" s="244"/>
      <c r="F151" s="198">
        <f>D151*E151</f>
        <v>0</v>
      </c>
    </row>
    <row r="152" spans="1:6" ht="14.1" customHeight="1">
      <c r="A152" s="153"/>
      <c r="B152" s="153"/>
      <c r="C152" s="251" t="s">
        <v>143</v>
      </c>
      <c r="D152" s="244"/>
      <c r="E152" s="244"/>
      <c r="F152" s="198">
        <f>D152*E152</f>
        <v>0</v>
      </c>
    </row>
    <row r="153" spans="1:6" ht="14.1" customHeight="1">
      <c r="A153" s="153"/>
      <c r="B153" s="153"/>
      <c r="C153" s="251" t="s">
        <v>143</v>
      </c>
      <c r="D153" s="244"/>
      <c r="E153" s="244"/>
      <c r="F153" s="198">
        <f>D153*E153</f>
        <v>0</v>
      </c>
    </row>
    <row r="154" spans="1:6" ht="14.1" customHeight="1">
      <c r="A154" s="248" t="s">
        <v>251</v>
      </c>
      <c r="B154" s="151"/>
      <c r="C154" s="250" t="s">
        <v>143</v>
      </c>
      <c r="D154" s="250">
        <f>SUM(D146:D153)</f>
        <v>7.5</v>
      </c>
      <c r="E154" s="250">
        <f>F154/D154</f>
        <v>72.685066361018173</v>
      </c>
      <c r="F154" s="194">
        <f>SUM(F146:F153)</f>
        <v>545.13799770763626</v>
      </c>
    </row>
    <row r="155" spans="1:6" s="195" customFormat="1" ht="14.1" customHeight="1">
      <c r="A155" s="248" t="s">
        <v>379</v>
      </c>
      <c r="B155" s="155" t="s">
        <v>103</v>
      </c>
      <c r="C155" s="253" t="s">
        <v>144</v>
      </c>
      <c r="D155" s="252">
        <v>9</v>
      </c>
      <c r="E155" s="254"/>
      <c r="F155" s="228"/>
    </row>
    <row r="156" spans="1:6" ht="14.1" customHeight="1">
      <c r="A156" s="248" t="s">
        <v>222</v>
      </c>
      <c r="B156" s="151" t="s">
        <v>218</v>
      </c>
      <c r="C156" s="253" t="s">
        <v>143</v>
      </c>
      <c r="D156" s="220"/>
      <c r="E156" s="250">
        <f>(F34+F36+F54+F83+F116)/D163</f>
        <v>30.600624545454544</v>
      </c>
      <c r="F156" s="198"/>
    </row>
    <row r="157" spans="1:6" ht="14.1" customHeight="1">
      <c r="A157" s="152" t="s">
        <v>200</v>
      </c>
      <c r="B157" s="153" t="s">
        <v>225</v>
      </c>
      <c r="C157" s="251" t="s">
        <v>143</v>
      </c>
      <c r="D157" s="244">
        <v>1.5</v>
      </c>
      <c r="E157" s="220">
        <f>(F34+F36+F54+F83+F116)/D163+(0.42)*(F34+F36+F54+F83+F116)/D163</f>
        <v>43.452886854545454</v>
      </c>
      <c r="F157" s="198">
        <f t="shared" si="2"/>
        <v>65.179330281818181</v>
      </c>
    </row>
    <row r="158" spans="1:6" ht="14.1" customHeight="1">
      <c r="A158" s="152" t="s">
        <v>258</v>
      </c>
      <c r="B158" s="153" t="s">
        <v>226</v>
      </c>
      <c r="C158" s="251" t="s">
        <v>143</v>
      </c>
      <c r="D158" s="244">
        <v>1.5</v>
      </c>
      <c r="E158" s="220">
        <f>(F34+F36+F54+F83+F116)/D163+(0.42)*(F34+F36+F54+F83+F116)/D163</f>
        <v>43.452886854545454</v>
      </c>
      <c r="F158" s="198">
        <f>(E158*D158)</f>
        <v>65.179330281818181</v>
      </c>
    </row>
    <row r="159" spans="1:6" ht="14.1" customHeight="1">
      <c r="A159" s="152" t="s">
        <v>240</v>
      </c>
      <c r="B159" s="153" t="s">
        <v>257</v>
      </c>
      <c r="C159" s="251" t="s">
        <v>143</v>
      </c>
      <c r="D159" s="244">
        <v>1.5</v>
      </c>
      <c r="E159" s="220">
        <f>(F34+F36+F54+F83+F116)/D163+(0.39)*(F34+F36+F54+F83+F116)/D163</f>
        <v>42.534868118181819</v>
      </c>
      <c r="F159" s="198">
        <f>(E159*D159)</f>
        <v>63.802302177272729</v>
      </c>
    </row>
    <row r="160" spans="1:6" ht="14.1" customHeight="1">
      <c r="A160" s="153" t="s">
        <v>198</v>
      </c>
      <c r="B160" s="153"/>
      <c r="C160" s="251" t="s">
        <v>143</v>
      </c>
      <c r="D160" s="244"/>
      <c r="E160" s="255"/>
      <c r="F160" s="198">
        <f>(E160*D160)</f>
        <v>0</v>
      </c>
    </row>
    <row r="161" spans="1:6" ht="14.1" customHeight="1">
      <c r="A161" s="153" t="s">
        <v>197</v>
      </c>
      <c r="B161" s="153"/>
      <c r="C161" s="251" t="s">
        <v>143</v>
      </c>
      <c r="D161" s="255"/>
      <c r="E161" s="255"/>
      <c r="F161" s="198">
        <f t="shared" si="2"/>
        <v>0</v>
      </c>
    </row>
    <row r="162" spans="1:6" ht="14.1" customHeight="1">
      <c r="A162" s="153" t="s">
        <v>197</v>
      </c>
      <c r="B162" s="153"/>
      <c r="C162" s="251" t="s">
        <v>143</v>
      </c>
      <c r="D162" s="255"/>
      <c r="E162" s="255"/>
      <c r="F162" s="198">
        <f t="shared" si="2"/>
        <v>0</v>
      </c>
    </row>
    <row r="163" spans="1:6" s="195" customFormat="1" ht="14.1" customHeight="1">
      <c r="A163" s="248" t="s">
        <v>252</v>
      </c>
      <c r="B163" s="154"/>
      <c r="C163" s="249"/>
      <c r="D163" s="250">
        <f>SUM(D157:D162)</f>
        <v>4.5</v>
      </c>
      <c r="E163" s="250"/>
      <c r="F163" s="194">
        <f>SUM(F157:F162)</f>
        <v>194.1609627409091</v>
      </c>
    </row>
    <row r="164" spans="1:6" s="195" customFormat="1" ht="14.1" customHeight="1">
      <c r="A164" s="199" t="s">
        <v>229</v>
      </c>
      <c r="B164" s="154" t="s">
        <v>228</v>
      </c>
      <c r="C164" s="253" t="s">
        <v>144</v>
      </c>
      <c r="D164" s="250">
        <v>4.5</v>
      </c>
      <c r="E164" s="250"/>
      <c r="F164" s="194"/>
    </row>
    <row r="165" spans="1:6" s="195" customFormat="1" ht="14.1" customHeight="1">
      <c r="A165" s="248" t="s">
        <v>261</v>
      </c>
      <c r="B165" s="154" t="s">
        <v>261</v>
      </c>
      <c r="C165" s="253"/>
      <c r="D165" s="250">
        <f>D166*D167</f>
        <v>18.7</v>
      </c>
      <c r="E165" s="250">
        <f>(F37+F38+F56+F85+F125)/D166</f>
        <v>0</v>
      </c>
      <c r="F165" s="194">
        <f>F166+F167</f>
        <v>0</v>
      </c>
    </row>
    <row r="166" spans="1:6" s="195" customFormat="1" ht="14.1" customHeight="1">
      <c r="A166" s="199" t="s">
        <v>262</v>
      </c>
      <c r="B166" s="136" t="s">
        <v>261</v>
      </c>
      <c r="C166" s="256" t="s">
        <v>143</v>
      </c>
      <c r="D166" s="252">
        <v>1.7</v>
      </c>
      <c r="E166" s="250">
        <f>(F37+F38+F56+F85+F125)/D166</f>
        <v>0</v>
      </c>
      <c r="F166" s="194">
        <f>D166*E166</f>
        <v>0</v>
      </c>
    </row>
    <row r="167" spans="1:6" s="195" customFormat="1" ht="14.1" customHeight="1">
      <c r="A167" s="241" t="s">
        <v>265</v>
      </c>
      <c r="B167" s="150" t="s">
        <v>261</v>
      </c>
      <c r="C167" s="220" t="s">
        <v>144</v>
      </c>
      <c r="D167" s="252">
        <v>11</v>
      </c>
      <c r="E167" s="250">
        <v>0</v>
      </c>
      <c r="F167" s="194">
        <f>D167*E167</f>
        <v>0</v>
      </c>
    </row>
    <row r="168" spans="1:6" ht="14.1" customHeight="1">
      <c r="A168" s="199" t="s">
        <v>12</v>
      </c>
      <c r="B168" s="136" t="s">
        <v>65</v>
      </c>
      <c r="C168" s="256" t="s">
        <v>145</v>
      </c>
      <c r="D168" s="220"/>
      <c r="E168" s="220"/>
      <c r="F168" s="243">
        <v>5000</v>
      </c>
    </row>
    <row r="169" spans="1:6" ht="14.25" customHeight="1">
      <c r="A169" s="241" t="s">
        <v>133</v>
      </c>
      <c r="B169" s="150" t="s">
        <v>106</v>
      </c>
      <c r="C169" s="220" t="s">
        <v>91</v>
      </c>
      <c r="D169" s="220">
        <v>10</v>
      </c>
      <c r="E169" s="220">
        <f>F168</f>
        <v>5000</v>
      </c>
      <c r="F169" s="198">
        <f>D169*E169/100</f>
        <v>500</v>
      </c>
    </row>
    <row r="170" spans="1:6" ht="14.1" customHeight="1">
      <c r="A170" s="199" t="s">
        <v>173</v>
      </c>
      <c r="B170" s="150"/>
      <c r="C170" s="150" t="s">
        <v>13</v>
      </c>
      <c r="D170" s="220"/>
      <c r="E170" s="220"/>
      <c r="F170" s="243">
        <v>38900</v>
      </c>
    </row>
    <row r="171" spans="1:6" ht="14.1" customHeight="1" thickBot="1">
      <c r="A171" s="296" t="s">
        <v>127</v>
      </c>
      <c r="B171" s="159"/>
      <c r="C171" s="297" t="s">
        <v>140</v>
      </c>
      <c r="D171" s="298"/>
      <c r="E171" s="298"/>
      <c r="F171" s="299">
        <v>678</v>
      </c>
    </row>
    <row r="172" spans="1:6" ht="14.1" customHeight="1" thickTop="1">
      <c r="A172" s="293" t="s">
        <v>69</v>
      </c>
      <c r="B172" s="294" t="s">
        <v>1</v>
      </c>
      <c r="C172" s="294" t="s">
        <v>186</v>
      </c>
      <c r="D172" s="254"/>
      <c r="E172" s="254"/>
      <c r="F172" s="295">
        <v>137.69999999999999</v>
      </c>
    </row>
    <row r="173" spans="1:6" ht="14.1" customHeight="1" thickBot="1">
      <c r="A173" s="300" t="s">
        <v>46</v>
      </c>
      <c r="B173" s="301" t="s">
        <v>135</v>
      </c>
      <c r="C173" s="301" t="s">
        <v>187</v>
      </c>
      <c r="D173" s="302"/>
      <c r="E173" s="302"/>
      <c r="F173" s="303">
        <v>32</v>
      </c>
    </row>
    <row r="174" spans="1:6" ht="14.1" customHeight="1" thickTop="1">
      <c r="A174" s="336" t="s">
        <v>102</v>
      </c>
      <c r="B174" s="284"/>
      <c r="C174" s="258"/>
      <c r="D174" s="258"/>
      <c r="E174" s="227"/>
      <c r="F174" s="228"/>
    </row>
    <row r="175" spans="1:6" ht="12.75" customHeight="1">
      <c r="A175" s="192" t="s">
        <v>280</v>
      </c>
      <c r="B175" s="282" t="s">
        <v>111</v>
      </c>
      <c r="C175" s="193" t="s">
        <v>101</v>
      </c>
      <c r="D175" s="193"/>
      <c r="E175" s="197"/>
      <c r="F175" s="194">
        <f>(F87+F6)</f>
        <v>4951.53</v>
      </c>
    </row>
    <row r="176" spans="1:6" ht="14.1" customHeight="1">
      <c r="A176" s="283" t="s">
        <v>112</v>
      </c>
      <c r="B176" s="139" t="s">
        <v>107</v>
      </c>
      <c r="C176" s="201" t="s">
        <v>101</v>
      </c>
      <c r="D176" s="197"/>
      <c r="E176" s="227"/>
      <c r="F176" s="202">
        <f>F173*F172</f>
        <v>4406.3999999999996</v>
      </c>
    </row>
    <row r="177" spans="1:8" ht="12.75" customHeight="1">
      <c r="A177" s="196" t="s">
        <v>113</v>
      </c>
      <c r="B177" s="139" t="s">
        <v>108</v>
      </c>
      <c r="C177" s="201" t="s">
        <v>101</v>
      </c>
      <c r="D177" s="197"/>
      <c r="E177" s="197"/>
      <c r="F177" s="198">
        <f>F176-F6</f>
        <v>1395.8799999999997</v>
      </c>
    </row>
    <row r="178" spans="1:8" s="195" customFormat="1" ht="14.1" customHeight="1">
      <c r="A178" s="283" t="s">
        <v>115</v>
      </c>
      <c r="B178" s="139" t="s">
        <v>109</v>
      </c>
      <c r="C178" s="230" t="s">
        <v>101</v>
      </c>
      <c r="D178" s="258"/>
      <c r="E178" s="258"/>
      <c r="F178" s="202">
        <f>F176-F175</f>
        <v>-545.13000000000011</v>
      </c>
    </row>
    <row r="179" spans="1:8" s="195" customFormat="1" ht="14.1" customHeight="1">
      <c r="A179" s="283"/>
      <c r="B179" s="139"/>
      <c r="C179" s="230"/>
      <c r="D179" s="258"/>
      <c r="E179" s="258"/>
      <c r="F179" s="202"/>
    </row>
    <row r="180" spans="1:8" s="195" customFormat="1" ht="14.1" customHeight="1">
      <c r="A180" s="283"/>
      <c r="B180" s="282" t="s">
        <v>393</v>
      </c>
      <c r="C180" s="230"/>
      <c r="D180" s="258"/>
      <c r="E180" s="258"/>
      <c r="F180" s="202"/>
    </row>
    <row r="181" spans="1:8" s="195" customFormat="1" ht="14.1" customHeight="1">
      <c r="A181" s="225" t="s">
        <v>114</v>
      </c>
      <c r="B181" s="282" t="s">
        <v>110</v>
      </c>
      <c r="C181" s="337" t="s">
        <v>281</v>
      </c>
      <c r="D181" s="258"/>
      <c r="E181" s="258"/>
      <c r="F181" s="228">
        <f>ROUND(F6/F172,2)</f>
        <v>21.86</v>
      </c>
    </row>
    <row r="182" spans="1:8" s="195" customFormat="1" ht="14.1" customHeight="1">
      <c r="A182" s="192" t="s">
        <v>116</v>
      </c>
      <c r="B182" s="282" t="s">
        <v>181</v>
      </c>
      <c r="C182" s="274" t="s">
        <v>281</v>
      </c>
      <c r="D182" s="193"/>
      <c r="E182" s="193"/>
      <c r="F182" s="194">
        <f>ROUND(F87/F172,2)</f>
        <v>14.1</v>
      </c>
    </row>
    <row r="183" spans="1:8" s="271" customFormat="1" ht="14.1" customHeight="1">
      <c r="A183" s="192" t="s">
        <v>117</v>
      </c>
      <c r="B183" s="282" t="s">
        <v>182</v>
      </c>
      <c r="C183" s="274" t="s">
        <v>281</v>
      </c>
      <c r="D183" s="193"/>
      <c r="E183" s="193"/>
      <c r="F183" s="228">
        <f>F181+F182</f>
        <v>35.96</v>
      </c>
    </row>
    <row r="184" spans="1:8" s="271" customFormat="1" ht="14.1" customHeight="1">
      <c r="A184" s="257"/>
      <c r="B184" s="284"/>
      <c r="C184" s="337"/>
      <c r="D184" s="193"/>
      <c r="E184" s="258"/>
      <c r="F184" s="228"/>
    </row>
    <row r="185" spans="1:8" ht="14.1" customHeight="1">
      <c r="A185" s="257" t="s">
        <v>390</v>
      </c>
      <c r="B185" s="284" t="s">
        <v>352</v>
      </c>
      <c r="C185" s="254" t="s">
        <v>295</v>
      </c>
      <c r="D185" s="193">
        <f>(F185/F175)*100</f>
        <v>69.903204634958243</v>
      </c>
      <c r="E185" s="254">
        <f>F183-E187</f>
        <v>25.137546466676458</v>
      </c>
      <c r="F185" s="228">
        <f>F175-F187</f>
        <v>3461.2781484613479</v>
      </c>
      <c r="H185" s="221"/>
    </row>
    <row r="186" spans="1:8" ht="14.1" customHeight="1">
      <c r="A186" s="216" t="s">
        <v>391</v>
      </c>
      <c r="B186" s="284"/>
      <c r="C186" s="201"/>
      <c r="D186" s="193"/>
      <c r="E186" s="254"/>
      <c r="F186" s="228"/>
      <c r="H186" s="221"/>
    </row>
    <row r="187" spans="1:8" ht="14.1" customHeight="1">
      <c r="A187" s="257" t="s">
        <v>292</v>
      </c>
      <c r="B187" s="284" t="s">
        <v>291</v>
      </c>
      <c r="C187" s="254" t="s">
        <v>295</v>
      </c>
      <c r="D187" s="193">
        <f>(F187/F175)*100</f>
        <v>30.09679536504175</v>
      </c>
      <c r="E187" s="254">
        <f>F187/F172</f>
        <v>10.822453533323543</v>
      </c>
      <c r="F187" s="228">
        <f>F76+F96+F99+F101+(((F132+F133)/2*0.06/F135)*1.826*D104)+(((F136+F137)/2*0.06/F139)*2.23)*D116+(((F140+F141)/2*0.06/F143))*D125</f>
        <v>1490.2518515386519</v>
      </c>
      <c r="H187" s="221"/>
    </row>
    <row r="188" spans="1:8" ht="14.1" customHeight="1">
      <c r="A188" s="216" t="s">
        <v>392</v>
      </c>
      <c r="B188" s="284"/>
      <c r="C188" s="254"/>
      <c r="D188" s="193"/>
      <c r="E188" s="254"/>
      <c r="F188" s="228"/>
      <c r="H188" s="221"/>
    </row>
    <row r="189" spans="1:8" ht="14.1" customHeight="1">
      <c r="A189" s="216"/>
      <c r="B189" s="284"/>
      <c r="C189" s="286"/>
      <c r="D189" s="285"/>
      <c r="E189" s="254"/>
      <c r="F189" s="228"/>
      <c r="H189" s="221"/>
    </row>
    <row r="190" spans="1:8" ht="14.1" customHeight="1">
      <c r="A190" s="257" t="s">
        <v>104</v>
      </c>
      <c r="B190" s="158"/>
      <c r="C190" s="201"/>
      <c r="D190" s="193"/>
      <c r="E190" s="316"/>
      <c r="F190" s="315"/>
      <c r="H190" s="221"/>
    </row>
    <row r="191" spans="1:8" ht="14.1" customHeight="1">
      <c r="A191" s="196" t="s">
        <v>283</v>
      </c>
      <c r="B191" s="158"/>
      <c r="C191" s="201" t="s">
        <v>91</v>
      </c>
      <c r="D191" s="201">
        <f>F7/E197*100</f>
        <v>26.15750636671898</v>
      </c>
      <c r="E191" s="317"/>
      <c r="F191" s="202">
        <f>D191*F175/100</f>
        <v>1295.1967750000001</v>
      </c>
      <c r="H191" s="221"/>
    </row>
    <row r="192" spans="1:8" ht="14.1" customHeight="1">
      <c r="A192" s="196" t="s">
        <v>284</v>
      </c>
      <c r="B192" s="158"/>
      <c r="C192" s="201" t="s">
        <v>91</v>
      </c>
      <c r="D192" s="197">
        <f>F42/E197*100</f>
        <v>13.908013372542522</v>
      </c>
      <c r="E192" s="317"/>
      <c r="F192" s="202">
        <f>D192*F175/100</f>
        <v>688.65945454545465</v>
      </c>
      <c r="H192" s="221"/>
    </row>
    <row r="193" spans="1:8" ht="14.1" customHeight="1">
      <c r="A193" s="196" t="s">
        <v>285</v>
      </c>
      <c r="B193" s="158"/>
      <c r="C193" s="201" t="s">
        <v>91</v>
      </c>
      <c r="D193" s="197">
        <f>(F31+F33+F34+F36+F37+F38+F39+F52+F54+F56+F59+F60+F61+F62+F63+F64+F65+F67+F82+F83+F85+F86+F103)/E197*100</f>
        <v>26.222293599700951</v>
      </c>
      <c r="E193" s="317"/>
      <c r="F193" s="202">
        <f>D193*F175/100</f>
        <v>1298.4047342772724</v>
      </c>
      <c r="H193" s="221"/>
    </row>
    <row r="194" spans="1:8" ht="14.1" customHeight="1">
      <c r="A194" s="196" t="s">
        <v>286</v>
      </c>
      <c r="B194" s="158"/>
      <c r="C194" s="201" t="s">
        <v>91</v>
      </c>
      <c r="D194" s="197">
        <f>(F84+F101)/E197*100</f>
        <v>23.568472775081641</v>
      </c>
      <c r="E194" s="317"/>
      <c r="F194" s="202">
        <f>D194*F175/100</f>
        <v>1167</v>
      </c>
      <c r="H194" s="221"/>
    </row>
    <row r="195" spans="1:8" ht="14.1" customHeight="1">
      <c r="A195" s="196" t="s">
        <v>287</v>
      </c>
      <c r="B195" s="158"/>
      <c r="C195" s="201" t="s">
        <v>91</v>
      </c>
      <c r="D195" s="197">
        <f>(F60+F166)/E197*100</f>
        <v>8.8990675609357108</v>
      </c>
      <c r="E195" s="317"/>
      <c r="F195" s="202">
        <f>D195*F175/100</f>
        <v>440.64</v>
      </c>
      <c r="H195" s="221"/>
    </row>
    <row r="196" spans="1:8" ht="14.1" customHeight="1">
      <c r="A196" s="196" t="s">
        <v>288</v>
      </c>
      <c r="B196" s="158"/>
      <c r="C196" s="201" t="s">
        <v>91</v>
      </c>
      <c r="D196" s="197">
        <f>D197-D191-D192-D193-D194-D195</f>
        <v>1.2446463250201969</v>
      </c>
      <c r="E196" s="317"/>
      <c r="F196" s="202">
        <f>D196*F175/100</f>
        <v>61.629036177272553</v>
      </c>
      <c r="H196" s="221"/>
    </row>
    <row r="197" spans="1:8" s="195" customFormat="1" ht="14.1" customHeight="1" thickBot="1">
      <c r="A197" s="259" t="s">
        <v>289</v>
      </c>
      <c r="B197" s="159"/>
      <c r="C197" s="260" t="s">
        <v>91</v>
      </c>
      <c r="D197" s="260">
        <v>100</v>
      </c>
      <c r="E197" s="260">
        <f>F175</f>
        <v>4951.53</v>
      </c>
      <c r="F197" s="260">
        <f>D197*F175/100</f>
        <v>4951.53</v>
      </c>
    </row>
    <row r="198" spans="1:8" ht="13.5" customHeight="1" thickTop="1">
      <c r="C198" s="195"/>
      <c r="D198" s="261"/>
    </row>
    <row r="199" spans="1:8" ht="13.5" customHeight="1">
      <c r="A199" s="345" t="s">
        <v>342</v>
      </c>
      <c r="B199" s="345"/>
      <c r="C199" s="345"/>
      <c r="D199" s="345"/>
      <c r="E199" s="345"/>
      <c r="F199" s="345"/>
    </row>
    <row r="200" spans="1:8" ht="13.5" customHeight="1">
      <c r="C200" s="195"/>
      <c r="D200" s="261"/>
    </row>
    <row r="201" spans="1:8" ht="14.1" customHeight="1">
      <c r="A201" s="344" t="s">
        <v>302</v>
      </c>
      <c r="B201" s="344"/>
      <c r="C201" s="344"/>
      <c r="D201" s="344"/>
      <c r="E201" s="344"/>
      <c r="F201" s="344"/>
    </row>
    <row r="202" spans="1:8" ht="29.25" customHeight="1">
      <c r="A202" s="347" t="s">
        <v>350</v>
      </c>
      <c r="B202" s="347"/>
      <c r="C202" s="347"/>
      <c r="D202" s="347"/>
      <c r="E202" s="347"/>
      <c r="F202" s="347"/>
    </row>
    <row r="203" spans="1:8" ht="14.1" customHeight="1">
      <c r="A203" s="319"/>
      <c r="B203"/>
    </row>
    <row r="204" spans="1:8" ht="13.5" hidden="1" customHeight="1">
      <c r="A204" s="319"/>
      <c r="B204"/>
    </row>
    <row r="205" spans="1:8" ht="13.5" customHeight="1">
      <c r="A205" s="346" t="s">
        <v>303</v>
      </c>
      <c r="B205" s="346"/>
      <c r="C205" s="346"/>
      <c r="D205" s="346"/>
      <c r="E205" s="346"/>
      <c r="F205" s="346"/>
    </row>
    <row r="206" spans="1:8" ht="91.5" customHeight="1">
      <c r="A206" s="338" t="s">
        <v>304</v>
      </c>
      <c r="B206" s="338"/>
      <c r="C206" s="338"/>
      <c r="D206" s="338"/>
      <c r="E206" s="338"/>
      <c r="F206" s="338"/>
    </row>
    <row r="207" spans="1:8" ht="93.75" customHeight="1">
      <c r="A207" s="338" t="s">
        <v>305</v>
      </c>
      <c r="B207" s="338"/>
      <c r="C207" s="338"/>
      <c r="D207" s="338"/>
      <c r="E207" s="338"/>
      <c r="F207" s="338"/>
    </row>
    <row r="208" spans="1:8" ht="58.5" customHeight="1">
      <c r="A208" s="338" t="s">
        <v>306</v>
      </c>
      <c r="B208" s="338"/>
      <c r="C208" s="338"/>
      <c r="D208" s="338"/>
      <c r="E208" s="338"/>
      <c r="F208" s="338"/>
    </row>
    <row r="209" spans="1:6" ht="36.75" customHeight="1">
      <c r="A209" s="338" t="s">
        <v>307</v>
      </c>
      <c r="B209" s="338"/>
      <c r="C209" s="338"/>
      <c r="D209" s="338"/>
      <c r="E209" s="338"/>
      <c r="F209" s="338"/>
    </row>
    <row r="210" spans="1:6" ht="14.1" customHeight="1">
      <c r="A210" s="320"/>
      <c r="B210"/>
    </row>
    <row r="211" spans="1:6" ht="14.1" customHeight="1">
      <c r="A211" s="346" t="s">
        <v>308</v>
      </c>
      <c r="B211" s="346"/>
      <c r="C211" s="346"/>
      <c r="D211" s="346"/>
      <c r="E211" s="346"/>
      <c r="F211" s="346"/>
    </row>
    <row r="212" spans="1:6" ht="84.75" customHeight="1">
      <c r="A212" s="338" t="s">
        <v>309</v>
      </c>
      <c r="B212" s="338"/>
      <c r="C212" s="338"/>
      <c r="D212" s="338"/>
      <c r="E212" s="338"/>
      <c r="F212" s="338"/>
    </row>
    <row r="213" spans="1:6" ht="74.25" customHeight="1">
      <c r="A213" s="338" t="s">
        <v>310</v>
      </c>
      <c r="B213" s="338"/>
      <c r="C213" s="338"/>
      <c r="D213" s="338"/>
      <c r="E213" s="338"/>
      <c r="F213" s="338"/>
    </row>
    <row r="214" spans="1:6" ht="61.5" customHeight="1">
      <c r="A214" s="338" t="s">
        <v>311</v>
      </c>
      <c r="B214" s="338"/>
      <c r="C214" s="338"/>
      <c r="D214" s="338"/>
      <c r="E214" s="338"/>
      <c r="F214" s="338"/>
    </row>
    <row r="215" spans="1:6" ht="14.1" customHeight="1">
      <c r="A215" s="320"/>
      <c r="B215"/>
    </row>
    <row r="216" spans="1:6" ht="14.1" customHeight="1">
      <c r="A216" s="341" t="s">
        <v>312</v>
      </c>
      <c r="B216" s="341"/>
      <c r="C216" s="341"/>
      <c r="D216" s="341"/>
      <c r="E216" s="341"/>
      <c r="F216" s="341"/>
    </row>
    <row r="217" spans="1:6" ht="14.1" customHeight="1">
      <c r="A217" s="320" t="s">
        <v>313</v>
      </c>
      <c r="B217"/>
    </row>
    <row r="218" spans="1:6" ht="87" customHeight="1">
      <c r="A218" s="338" t="s">
        <v>314</v>
      </c>
      <c r="B218" s="338"/>
      <c r="C218" s="338"/>
      <c r="D218" s="338"/>
      <c r="E218" s="338"/>
      <c r="F218" s="338"/>
    </row>
    <row r="219" spans="1:6" ht="36" customHeight="1">
      <c r="A219" s="338" t="s">
        <v>315</v>
      </c>
      <c r="B219" s="338"/>
      <c r="C219" s="338"/>
      <c r="D219" s="338"/>
      <c r="E219" s="338"/>
      <c r="F219" s="338"/>
    </row>
    <row r="220" spans="1:6" ht="54" customHeight="1">
      <c r="A220" s="338" t="s">
        <v>316</v>
      </c>
      <c r="B220" s="338"/>
      <c r="C220" s="338"/>
      <c r="D220" s="338"/>
      <c r="E220" s="338"/>
      <c r="F220" s="338"/>
    </row>
    <row r="221" spans="1:6" ht="35.25" customHeight="1">
      <c r="A221" s="338" t="s">
        <v>317</v>
      </c>
      <c r="B221" s="338"/>
      <c r="C221" s="338"/>
      <c r="D221" s="338"/>
      <c r="E221" s="338"/>
      <c r="F221" s="338"/>
    </row>
    <row r="222" spans="1:6" ht="42" customHeight="1">
      <c r="A222" s="338" t="s">
        <v>318</v>
      </c>
      <c r="B222" s="338"/>
      <c r="C222" s="338"/>
      <c r="D222" s="338"/>
      <c r="E222" s="338"/>
      <c r="F222" s="338"/>
    </row>
    <row r="223" spans="1:6" ht="29.25" customHeight="1">
      <c r="A223" s="338" t="s">
        <v>319</v>
      </c>
      <c r="B223" s="338"/>
      <c r="C223" s="338"/>
      <c r="D223" s="338"/>
      <c r="E223" s="338"/>
      <c r="F223" s="338"/>
    </row>
    <row r="224" spans="1:6" ht="114" customHeight="1">
      <c r="A224" s="338" t="s">
        <v>320</v>
      </c>
      <c r="B224" s="338"/>
      <c r="C224" s="338"/>
      <c r="D224" s="338"/>
      <c r="E224" s="338"/>
      <c r="F224" s="338"/>
    </row>
    <row r="225" spans="1:6" ht="47.25" customHeight="1">
      <c r="A225" s="338" t="s">
        <v>321</v>
      </c>
      <c r="B225" s="338"/>
      <c r="C225" s="338"/>
      <c r="D225" s="338"/>
      <c r="E225" s="338"/>
      <c r="F225" s="338"/>
    </row>
    <row r="226" spans="1:6" ht="81" customHeight="1">
      <c r="A226" s="338" t="s">
        <v>322</v>
      </c>
      <c r="B226" s="338"/>
      <c r="C226" s="338"/>
      <c r="D226" s="338"/>
      <c r="E226" s="338"/>
      <c r="F226" s="338"/>
    </row>
    <row r="227" spans="1:6" ht="84.75" customHeight="1">
      <c r="A227" s="338" t="s">
        <v>323</v>
      </c>
      <c r="B227" s="338"/>
      <c r="C227" s="338"/>
      <c r="D227" s="338"/>
      <c r="E227" s="338"/>
      <c r="F227" s="338"/>
    </row>
    <row r="228" spans="1:6" ht="67.5" customHeight="1">
      <c r="A228" s="338" t="s">
        <v>324</v>
      </c>
      <c r="B228" s="338"/>
      <c r="C228" s="338"/>
      <c r="D228" s="338"/>
      <c r="E228" s="338"/>
      <c r="F228" s="338"/>
    </row>
    <row r="229" spans="1:6" ht="60" customHeight="1">
      <c r="A229" s="338" t="s">
        <v>325</v>
      </c>
      <c r="B229" s="338"/>
      <c r="C229" s="338"/>
      <c r="D229" s="338"/>
      <c r="E229" s="338"/>
      <c r="F229" s="338"/>
    </row>
    <row r="230" spans="1:6" ht="84" customHeight="1">
      <c r="A230" s="338" t="s">
        <v>326</v>
      </c>
      <c r="B230" s="338"/>
      <c r="C230" s="338"/>
      <c r="D230" s="338"/>
      <c r="E230" s="338"/>
      <c r="F230" s="338"/>
    </row>
    <row r="231" spans="1:6" ht="51" customHeight="1">
      <c r="A231" s="338" t="s">
        <v>327</v>
      </c>
      <c r="B231" s="338"/>
      <c r="C231" s="338"/>
      <c r="D231" s="338"/>
      <c r="E231" s="338"/>
      <c r="F231" s="338"/>
    </row>
    <row r="232" spans="1:6" ht="49.5" customHeight="1">
      <c r="A232" s="338" t="s">
        <v>328</v>
      </c>
      <c r="B232" s="338"/>
      <c r="C232" s="338"/>
      <c r="D232" s="338"/>
      <c r="E232" s="338"/>
      <c r="F232" s="338"/>
    </row>
    <row r="233" spans="1:6" ht="57.75" customHeight="1">
      <c r="A233" s="338" t="s">
        <v>329</v>
      </c>
      <c r="B233" s="338"/>
      <c r="C233" s="338"/>
      <c r="D233" s="338"/>
      <c r="E233" s="338"/>
      <c r="F233" s="338"/>
    </row>
    <row r="234" spans="1:6" ht="35.25" customHeight="1">
      <c r="A234" s="338" t="s">
        <v>330</v>
      </c>
      <c r="B234" s="338"/>
      <c r="C234" s="338"/>
      <c r="D234" s="338"/>
      <c r="E234" s="338"/>
      <c r="F234" s="338"/>
    </row>
    <row r="235" spans="1:6" ht="73.5" customHeight="1">
      <c r="A235" s="338" t="s">
        <v>331</v>
      </c>
      <c r="B235" s="338"/>
      <c r="C235" s="338"/>
      <c r="D235" s="338"/>
      <c r="E235" s="338"/>
      <c r="F235" s="338"/>
    </row>
    <row r="236" spans="1:6" ht="48.75" customHeight="1">
      <c r="A236" s="338" t="s">
        <v>332</v>
      </c>
      <c r="B236" s="338"/>
      <c r="C236" s="338"/>
      <c r="D236" s="338"/>
      <c r="E236" s="338"/>
      <c r="F236" s="338"/>
    </row>
    <row r="237" spans="1:6" ht="14.1" customHeight="1">
      <c r="A237" s="321"/>
      <c r="B237"/>
    </row>
    <row r="238" spans="1:6" ht="14.1" customHeight="1">
      <c r="A238" s="341" t="s">
        <v>333</v>
      </c>
      <c r="B238" s="341"/>
      <c r="C238" s="341"/>
      <c r="D238" s="341"/>
      <c r="E238" s="341"/>
      <c r="F238" s="341"/>
    </row>
    <row r="239" spans="1:6" ht="14.1" customHeight="1">
      <c r="A239" s="340" t="s">
        <v>334</v>
      </c>
      <c r="B239" s="340"/>
      <c r="C239" s="340"/>
      <c r="D239" s="340"/>
      <c r="E239" s="340"/>
      <c r="F239" s="340"/>
    </row>
    <row r="240" spans="1:6" ht="14.1" customHeight="1">
      <c r="A240" s="323"/>
      <c r="B240"/>
    </row>
    <row r="241" spans="1:6" ht="37.5" customHeight="1">
      <c r="A241" s="338" t="s">
        <v>335</v>
      </c>
      <c r="B241" s="338"/>
      <c r="C241" s="338"/>
      <c r="D241" s="338"/>
      <c r="E241" s="338"/>
      <c r="F241" s="338"/>
    </row>
    <row r="242" spans="1:6" ht="40.5" customHeight="1">
      <c r="A242" s="338" t="s">
        <v>344</v>
      </c>
      <c r="B242" s="338"/>
      <c r="C242" s="338"/>
      <c r="D242" s="338"/>
      <c r="E242" s="338"/>
      <c r="F242" s="338"/>
    </row>
    <row r="243" spans="1:6" ht="38.25" customHeight="1">
      <c r="A243" s="338" t="s">
        <v>345</v>
      </c>
      <c r="B243" s="338"/>
      <c r="C243" s="338"/>
      <c r="D243" s="338"/>
      <c r="E243" s="338"/>
      <c r="F243" s="338"/>
    </row>
    <row r="244" spans="1:6" ht="51.75" customHeight="1">
      <c r="A244" s="338" t="s">
        <v>346</v>
      </c>
      <c r="B244" s="338"/>
      <c r="C244" s="338"/>
      <c r="D244" s="338"/>
      <c r="E244" s="338"/>
      <c r="F244" s="338"/>
    </row>
    <row r="245" spans="1:6" ht="14.1" customHeight="1">
      <c r="A245" s="320"/>
      <c r="B245"/>
    </row>
    <row r="246" spans="1:6" ht="95.25" customHeight="1">
      <c r="A246" s="338" t="s">
        <v>347</v>
      </c>
      <c r="B246" s="338"/>
      <c r="C246" s="338"/>
      <c r="D246" s="338"/>
      <c r="E246" s="338"/>
      <c r="F246" s="338"/>
    </row>
    <row r="247" spans="1:6" ht="95.25" customHeight="1">
      <c r="A247" s="338" t="s">
        <v>348</v>
      </c>
      <c r="B247" s="338"/>
      <c r="C247" s="338"/>
      <c r="D247" s="338"/>
      <c r="E247" s="338"/>
      <c r="F247" s="338"/>
    </row>
    <row r="248" spans="1:6" ht="89.25" customHeight="1">
      <c r="A248" s="338" t="s">
        <v>336</v>
      </c>
      <c r="B248" s="338"/>
      <c r="C248" s="338"/>
      <c r="D248" s="338"/>
      <c r="E248" s="338"/>
      <c r="F248" s="338"/>
    </row>
    <row r="249" spans="1:6" ht="14.1" customHeight="1">
      <c r="A249" s="320"/>
      <c r="B249"/>
    </row>
    <row r="250" spans="1:6" ht="14.1" customHeight="1">
      <c r="A250" s="340" t="s">
        <v>337</v>
      </c>
      <c r="B250" s="340"/>
      <c r="C250" s="340"/>
      <c r="D250" s="340"/>
      <c r="E250" s="340"/>
      <c r="F250" s="340"/>
    </row>
    <row r="251" spans="1:6" ht="14.1" customHeight="1">
      <c r="A251" s="322"/>
      <c r="B251"/>
    </row>
    <row r="252" spans="1:6" ht="45.75" customHeight="1">
      <c r="A252" s="338" t="s">
        <v>338</v>
      </c>
      <c r="B252" s="338"/>
      <c r="C252" s="338"/>
      <c r="D252" s="338"/>
      <c r="E252" s="338"/>
      <c r="F252" s="338"/>
    </row>
    <row r="253" spans="1:6" ht="60" customHeight="1">
      <c r="A253" s="338" t="s">
        <v>339</v>
      </c>
      <c r="B253" s="338"/>
      <c r="C253" s="338"/>
      <c r="D253" s="338"/>
      <c r="E253" s="338"/>
      <c r="F253" s="338"/>
    </row>
    <row r="254" spans="1:6" ht="30.75" customHeight="1">
      <c r="A254" s="338" t="s">
        <v>340</v>
      </c>
      <c r="B254" s="338"/>
      <c r="C254" s="338"/>
      <c r="D254" s="338"/>
      <c r="E254" s="338"/>
      <c r="F254" s="338"/>
    </row>
    <row r="255" spans="1:6" ht="14.1" customHeight="1">
      <c r="A255" s="324"/>
      <c r="B255"/>
    </row>
    <row r="256" spans="1:6" ht="0.75" customHeight="1">
      <c r="A256" s="324"/>
      <c r="B256"/>
    </row>
    <row r="257" spans="1:6" ht="14.1" customHeight="1">
      <c r="A257" s="339" t="s">
        <v>341</v>
      </c>
      <c r="B257" s="339"/>
      <c r="C257" s="339"/>
      <c r="D257" s="339"/>
      <c r="E257" s="339"/>
      <c r="F257" s="339"/>
    </row>
    <row r="258" spans="1:6" ht="14.1" customHeight="1">
      <c r="A258" s="323"/>
      <c r="B258"/>
    </row>
    <row r="259" spans="1:6" ht="16.5" customHeight="1">
      <c r="A259" s="345" t="s">
        <v>342</v>
      </c>
      <c r="B259" s="345"/>
      <c r="C259" s="345"/>
      <c r="D259" s="345"/>
      <c r="E259" s="345"/>
      <c r="F259" s="345"/>
    </row>
    <row r="260" spans="1:6" ht="78" customHeight="1">
      <c r="A260" s="338" t="s">
        <v>343</v>
      </c>
      <c r="B260" s="338"/>
      <c r="C260" s="338"/>
      <c r="D260" s="338"/>
      <c r="E260" s="338"/>
      <c r="F260" s="338"/>
    </row>
    <row r="261" spans="1:6" ht="14.1" customHeight="1"/>
    <row r="262" spans="1:6" ht="14.1" customHeight="1"/>
    <row r="263" spans="1:6" ht="14.1" customHeight="1"/>
    <row r="264" spans="1:6" ht="14.1" customHeight="1"/>
    <row r="265" spans="1:6" ht="14.1" customHeight="1"/>
    <row r="266" spans="1:6" ht="14.1" customHeight="1"/>
    <row r="267" spans="1:6" ht="14.1" customHeight="1"/>
    <row r="268" spans="1:6" ht="14.1" customHeight="1"/>
    <row r="269" spans="1:6" ht="14.1" customHeight="1"/>
    <row r="270" spans="1:6" ht="14.1" customHeight="1"/>
    <row r="271" spans="1:6" ht="14.1" customHeight="1"/>
    <row r="272" spans="1:6" ht="14.1" customHeight="1"/>
    <row r="273" ht="14.1" customHeight="1"/>
    <row r="274" ht="14.1" customHeight="1"/>
    <row r="275" ht="14.1" customHeight="1"/>
    <row r="276" ht="14.1" customHeight="1"/>
    <row r="277" ht="14.1" customHeight="1"/>
    <row r="278" ht="14.1" customHeight="1"/>
    <row r="279" ht="14.1" customHeight="1"/>
  </sheetData>
  <mergeCells count="48">
    <mergeCell ref="A216:F216"/>
    <mergeCell ref="A201:F201"/>
    <mergeCell ref="A202:F202"/>
    <mergeCell ref="A205:F205"/>
    <mergeCell ref="A206:F206"/>
    <mergeCell ref="A207:F207"/>
    <mergeCell ref="A208:F208"/>
    <mergeCell ref="A209:F209"/>
    <mergeCell ref="A211:F211"/>
    <mergeCell ref="A212:F212"/>
    <mergeCell ref="A213:F213"/>
    <mergeCell ref="A214:F214"/>
    <mergeCell ref="A229:F229"/>
    <mergeCell ref="A218:F218"/>
    <mergeCell ref="A219:F219"/>
    <mergeCell ref="A220:F220"/>
    <mergeCell ref="A221:F221"/>
    <mergeCell ref="A222:F222"/>
    <mergeCell ref="A223:F223"/>
    <mergeCell ref="A224:F224"/>
    <mergeCell ref="A225:F225"/>
    <mergeCell ref="A226:F226"/>
    <mergeCell ref="A227:F227"/>
    <mergeCell ref="A228:F228"/>
    <mergeCell ref="A243:F243"/>
    <mergeCell ref="A244:F244"/>
    <mergeCell ref="A230:F230"/>
    <mergeCell ref="A231:F231"/>
    <mergeCell ref="A232:F232"/>
    <mergeCell ref="A233:F233"/>
    <mergeCell ref="A234:F234"/>
    <mergeCell ref="A235:F235"/>
    <mergeCell ref="A199:F199"/>
    <mergeCell ref="A259:F259"/>
    <mergeCell ref="A260:F260"/>
    <mergeCell ref="A239:F239"/>
    <mergeCell ref="A250:F250"/>
    <mergeCell ref="A257:F257"/>
    <mergeCell ref="A246:F246"/>
    <mergeCell ref="A247:F247"/>
    <mergeCell ref="A248:F248"/>
    <mergeCell ref="A252:F252"/>
    <mergeCell ref="A253:F253"/>
    <mergeCell ref="A236:F236"/>
    <mergeCell ref="A254:F254"/>
    <mergeCell ref="A238:F238"/>
    <mergeCell ref="A241:F241"/>
    <mergeCell ref="A242:F242"/>
  </mergeCells>
  <hyperlinks>
    <hyperlink ref="A232" r:id="rId1" display="http://www.epagri.sc.gov.br/"/>
    <hyperlink ref="A259" r:id="rId2" display="http://cepa.epagri.sc.gov.br/agroindicadores/custos/custo10/Arroz.xls"/>
    <hyperlink ref="A260" r:id="rId3" display="http://www.epagri.sc.gov.br/"/>
    <hyperlink ref="A199" r:id="rId4" display="http://cepa.epagri.sc.gov.br/agroindicadores/custos/custo10/Arroz.xls"/>
  </hyperlinks>
  <pageMargins left="0.511811024" right="0.511811024" top="0.78740157499999996" bottom="0.78740157499999996" header="0.31496062000000002" footer="0.31496062000000002"/>
  <pageSetup paperSize="9" orientation="portrait"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3</vt:i4>
      </vt:variant>
      <vt:variant>
        <vt:lpstr>Intervalos nomeados</vt:lpstr>
      </vt:variant>
      <vt:variant>
        <vt:i4>2</vt:i4>
      </vt:variant>
    </vt:vector>
  </HeadingPairs>
  <TitlesOfParts>
    <vt:vector size="5" baseType="lpstr">
      <vt:lpstr>Solo seco</vt:lpstr>
      <vt:lpstr>Instruções</vt:lpstr>
      <vt:lpstr>Pré-germ</vt:lpstr>
      <vt:lpstr>'Pré-germ'!Area_de_impressao</vt:lpstr>
      <vt:lpstr>'Solo seco'!Area_de_impressao</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Instituto CEPA</dc:creator>
  <cp:lastModifiedBy>Edila</cp:lastModifiedBy>
  <cp:lastPrinted>2012-08-28T18:19:42Z</cp:lastPrinted>
  <dcterms:created xsi:type="dcterms:W3CDTF">1999-10-06T10:24:34Z</dcterms:created>
  <dcterms:modified xsi:type="dcterms:W3CDTF">2013-11-22T09:57:55Z</dcterms:modified>
</cp:coreProperties>
</file>